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June2021\"/>
    </mc:Choice>
  </mc:AlternateContent>
  <workbookProtection workbookPassword="FB84" lockStructure="1"/>
  <bookViews>
    <workbookView xWindow="0" yWindow="0" windowWidth="28800" windowHeight="12300" tabRatio="792" firstSheet="12" activeTab="3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5" i="177" l="1"/>
  <c r="G196" i="323"/>
  <c r="F196" i="323"/>
  <c r="H9" i="335" l="1"/>
  <c r="H18" i="335"/>
  <c r="H30" i="335"/>
  <c r="H46" i="335"/>
  <c r="H77" i="335"/>
  <c r="H101" i="335"/>
  <c r="H108" i="335"/>
  <c r="H132" i="335"/>
  <c r="H144" i="335"/>
  <c r="H149" i="335"/>
  <c r="H152" i="335"/>
  <c r="H158" i="335"/>
  <c r="H9" i="333"/>
  <c r="H12" i="333"/>
  <c r="H22" i="333"/>
  <c r="H21" i="333"/>
  <c r="H20" i="333"/>
  <c r="H19" i="333"/>
  <c r="H30" i="333"/>
  <c r="H77" i="333"/>
  <c r="H81" i="333"/>
  <c r="H80" i="333"/>
  <c r="H86" i="333"/>
  <c r="H89" i="333"/>
  <c r="H92" i="333"/>
  <c r="H102" i="333"/>
  <c r="H101" i="333"/>
  <c r="H100" i="333"/>
  <c r="H119" i="333"/>
  <c r="H122" i="333"/>
  <c r="H129" i="333"/>
  <c r="H145" i="333"/>
  <c r="H144" i="333"/>
  <c r="H149" i="333"/>
  <c r="H152" i="333"/>
  <c r="H155" i="333"/>
  <c r="H158" i="333"/>
  <c r="H9" i="325"/>
  <c r="H18" i="325"/>
  <c r="H34" i="325"/>
  <c r="H41" i="325"/>
  <c r="H46" i="325"/>
  <c r="H77" i="325"/>
  <c r="H80" i="325"/>
  <c r="H86" i="325"/>
  <c r="H88" i="325"/>
  <c r="H90" i="325"/>
  <c r="H93" i="325"/>
  <c r="H105" i="325"/>
  <c r="H9" i="326"/>
  <c r="H18" i="326"/>
  <c r="H30" i="326"/>
  <c r="H41" i="326"/>
  <c r="H40" i="326"/>
  <c r="H46" i="326"/>
  <c r="H77" i="326"/>
  <c r="H108" i="326"/>
  <c r="H132" i="326"/>
  <c r="H144" i="326"/>
  <c r="H152" i="326"/>
  <c r="H155" i="326"/>
  <c r="H158" i="326"/>
  <c r="H158" i="242"/>
  <c r="H155" i="242"/>
  <c r="H152" i="242"/>
  <c r="H149" i="242"/>
  <c r="H144" i="242"/>
  <c r="H96"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10" i="269"/>
  <c r="H9" i="269"/>
  <c r="H12" i="269"/>
  <c r="H16" i="269"/>
  <c r="H24" i="269"/>
  <c r="H23" i="269"/>
  <c r="H22" i="269"/>
  <c r="H21" i="269"/>
  <c r="H28" i="269"/>
  <c r="H27" i="269"/>
  <c r="H26" i="269"/>
  <c r="H37" i="269"/>
  <c r="H39" i="269"/>
  <c r="H43" i="269"/>
  <c r="H52" i="269"/>
  <c r="H51" i="269"/>
  <c r="H50" i="269"/>
  <c r="H55" i="269"/>
  <c r="H54" i="269"/>
  <c r="H57" i="269"/>
  <c r="H10" i="270"/>
  <c r="H9" i="270"/>
  <c r="H12" i="270"/>
  <c r="H16" i="270"/>
  <c r="H22" i="270"/>
  <c r="H23" i="270"/>
  <c r="H26" i="270"/>
  <c r="H27" i="270"/>
  <c r="H37" i="270"/>
  <c r="H38" i="270"/>
  <c r="H39" i="270"/>
  <c r="H43" i="270"/>
  <c r="H55" i="270"/>
  <c r="H54" i="270"/>
  <c r="H53" i="270"/>
  <c r="H52" i="270"/>
  <c r="H51" i="270"/>
  <c r="H50" i="270"/>
  <c r="H49" i="270"/>
  <c r="H48" i="270"/>
  <c r="H47" i="270"/>
  <c r="H56" i="270"/>
  <c r="H12" i="177"/>
  <c r="H11" i="177"/>
  <c r="H10" i="177"/>
  <c r="H9" i="177"/>
  <c r="H8" i="177"/>
  <c r="H7" i="177"/>
  <c r="H17" i="177"/>
  <c r="H16" i="177"/>
  <c r="H15" i="177"/>
  <c r="H27" i="177"/>
  <c r="H36" i="177"/>
  <c r="H9" i="324"/>
  <c r="H14" i="324"/>
  <c r="H22" i="324"/>
  <c r="H21" i="324"/>
  <c r="H25" i="324"/>
  <c r="H30" i="324"/>
  <c r="H39" i="324"/>
  <c r="H38" i="324"/>
  <c r="H37" i="324"/>
  <c r="H36" i="324"/>
  <c r="H152" i="324"/>
  <c r="H151" i="324"/>
  <c r="H162" i="324"/>
  <c r="H161" i="324"/>
  <c r="H165" i="324"/>
  <c r="H175" i="324"/>
  <c r="H174" i="324"/>
  <c r="H173" i="324"/>
  <c r="H184" i="324"/>
  <c r="H194" i="324"/>
  <c r="H197" i="324"/>
  <c r="H196" i="324"/>
  <c r="H205" i="324"/>
  <c r="H207" i="324"/>
  <c r="H208" i="324"/>
  <c r="H45" i="268"/>
  <c r="H44" i="268"/>
  <c r="H48" i="268"/>
  <c r="H51" i="268"/>
  <c r="H55" i="268"/>
  <c r="H54" i="268"/>
  <c r="H62" i="268"/>
  <c r="H61" i="268"/>
  <c r="H60" i="268"/>
  <c r="H59" i="268"/>
  <c r="H58" i="268"/>
  <c r="H67" i="268"/>
  <c r="H66" i="268"/>
  <c r="H73" i="268"/>
  <c r="H9" i="182"/>
  <c r="H8" i="182"/>
  <c r="H7" i="182"/>
  <c r="H6" i="182"/>
  <c r="H10" i="182"/>
  <c r="H14" i="182"/>
  <c r="H13" i="182"/>
  <c r="H12" i="182"/>
  <c r="H20" i="182"/>
  <c r="H19" i="182"/>
  <c r="H18" i="182"/>
  <c r="H17" i="182"/>
  <c r="H16" i="182"/>
  <c r="H35" i="182"/>
  <c r="H34" i="182"/>
  <c r="H33" i="182"/>
  <c r="H32" i="182"/>
  <c r="H31" i="182"/>
  <c r="H30" i="182"/>
  <c r="H29" i="182"/>
  <c r="H28" i="182"/>
  <c r="H27" i="182"/>
  <c r="H26" i="182"/>
  <c r="H25" i="182"/>
  <c r="H39" i="182"/>
  <c r="H233" i="323"/>
  <c r="H232" i="323"/>
  <c r="H230" i="323"/>
  <c r="H223" i="323"/>
  <c r="H222" i="323"/>
  <c r="H221" i="323"/>
  <c r="H220" i="323"/>
  <c r="H219" i="323"/>
  <c r="H212" i="323"/>
  <c r="H211" i="323"/>
  <c r="H210" i="323"/>
  <c r="H209" i="323"/>
  <c r="H208" i="323"/>
  <c r="H200" i="323"/>
  <c r="H199" i="323"/>
  <c r="H198" i="323"/>
  <c r="H190" i="323"/>
  <c r="H189" i="323"/>
  <c r="H188" i="323"/>
  <c r="H187" i="323"/>
  <c r="H186" i="323"/>
  <c r="H178" i="323"/>
  <c r="H177" i="323"/>
  <c r="H176" i="323"/>
  <c r="H175" i="323"/>
  <c r="H65" i="323"/>
  <c r="H64" i="323"/>
  <c r="H63" i="323"/>
  <c r="H62"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7" i="330"/>
  <c r="H16" i="330"/>
  <c r="H15" i="330"/>
  <c r="H13" i="330"/>
  <c r="H9" i="330"/>
  <c r="C23" i="324" l="1"/>
  <c r="H161" i="242" l="1"/>
  <c r="H119" i="242" l="1"/>
  <c r="K173" i="324" l="1"/>
  <c r="K96" i="242"/>
  <c r="K158" i="326"/>
  <c r="K144" i="326"/>
  <c r="K132" i="326"/>
  <c r="K108" i="326"/>
  <c r="K77" i="326"/>
  <c r="K41" i="326"/>
  <c r="K40" i="326"/>
  <c r="K30" i="326"/>
  <c r="K18" i="326"/>
  <c r="K144" i="335"/>
  <c r="K132" i="335"/>
  <c r="K101" i="335"/>
  <c r="K56" i="270" l="1"/>
  <c r="K55" i="270"/>
  <c r="K54" i="270"/>
  <c r="K53" i="270"/>
  <c r="K52" i="270"/>
  <c r="K51" i="270"/>
  <c r="K50" i="270"/>
  <c r="K48" i="270"/>
  <c r="K47" i="270"/>
  <c r="K38" i="270"/>
  <c r="K208" i="324" l="1"/>
  <c r="K184" i="324"/>
  <c r="K152" i="324"/>
  <c r="K151" i="324"/>
  <c r="K39" i="324"/>
  <c r="K30" i="324"/>
  <c r="K25" i="324"/>
  <c r="K35" i="182"/>
  <c r="K233" i="323"/>
  <c r="K232" i="323"/>
  <c r="K200" i="323"/>
  <c r="K199" i="323"/>
  <c r="K62" i="323"/>
  <c r="K228" i="330"/>
  <c r="K81" i="330"/>
  <c r="F177" i="330" l="1"/>
  <c r="G177" i="330"/>
  <c r="H108" i="242" l="1"/>
  <c r="H18" i="242"/>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49" i="270" l="1"/>
  <c r="K43" i="270"/>
  <c r="K39" i="270"/>
  <c r="K37" i="270"/>
  <c r="K27" i="270"/>
  <c r="K26" i="270"/>
  <c r="K23" i="270"/>
  <c r="K22"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2" i="178"/>
  <c r="G10" i="178"/>
  <c r="G9" i="178"/>
  <c r="G8" i="178"/>
  <c r="G7" i="178"/>
  <c r="K9" i="324"/>
  <c r="K14" i="324"/>
  <c r="K22" i="324"/>
  <c r="K21"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J12" i="267"/>
  <c r="D76"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s="1"/>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s="1"/>
  <c r="H17" i="335"/>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s="1"/>
  <c r="I66" i="317" s="1"/>
  <c r="H33" i="317"/>
  <c r="C33" i="317"/>
  <c r="A25" i="317"/>
  <c r="A24" i="317"/>
  <c r="A69" i="268"/>
  <c r="A22" i="267"/>
  <c r="A25" i="238"/>
  <c r="N22" i="238"/>
  <c r="K22" i="238"/>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s="1"/>
  <c r="P21" i="317"/>
  <c r="P33" i="317" s="1"/>
  <c r="M33" i="317"/>
  <c r="L33" i="317"/>
  <c r="K33" i="317"/>
  <c r="K54" i="317"/>
  <c r="J33" i="317"/>
  <c r="J54" i="317" s="1"/>
  <c r="G33" i="317"/>
  <c r="F33" i="317"/>
  <c r="E33" i="317"/>
  <c r="E54" i="317" s="1"/>
  <c r="E66" i="317" s="1"/>
  <c r="D33" i="317"/>
  <c r="G25" i="178"/>
  <c r="G26" i="178" s="1"/>
  <c r="H39" i="174" s="1"/>
  <c r="F25" i="178"/>
  <c r="F37" i="267" s="1"/>
  <c r="E25" i="178"/>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I53" i="333" s="1"/>
  <c r="J53" i="333" s="1"/>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I140" i="335" s="1"/>
  <c r="J140" i="335" s="1"/>
  <c r="G140" i="335"/>
  <c r="F140" i="335"/>
  <c r="F138" i="335" s="1"/>
  <c r="E140" i="335"/>
  <c r="E138" i="335" s="1"/>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s="1"/>
  <c r="I131" i="335"/>
  <c r="J131" i="335"/>
  <c r="K130" i="335"/>
  <c r="H130" i="335"/>
  <c r="H117" i="335" s="1"/>
  <c r="I117" i="335" s="1"/>
  <c r="J117" i="335" s="1"/>
  <c r="G130" i="335"/>
  <c r="F130" i="335"/>
  <c r="E130" i="335"/>
  <c r="E117" i="335" s="1"/>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G118" i="335"/>
  <c r="F118" i="335"/>
  <c r="F117" i="335"/>
  <c r="E118"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s="1"/>
  <c r="I23" i="335"/>
  <c r="J23" i="335" s="1"/>
  <c r="I22" i="335"/>
  <c r="J22" i="335" s="1"/>
  <c r="I20" i="335"/>
  <c r="J20" i="335" s="1"/>
  <c r="I19" i="335"/>
  <c r="J19" i="335" s="1"/>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s="1"/>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C117" i="333" s="1"/>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s="1"/>
  <c r="I144" i="326"/>
  <c r="J144" i="326" s="1"/>
  <c r="I143" i="326"/>
  <c r="J143" i="326" s="1"/>
  <c r="I142" i="326"/>
  <c r="J142" i="326" s="1"/>
  <c r="I141" i="326"/>
  <c r="J141" i="326"/>
  <c r="K140" i="326"/>
  <c r="K138" i="326" s="1"/>
  <c r="H140" i="326"/>
  <c r="H138" i="326" s="1"/>
  <c r="G140" i="326"/>
  <c r="G138" i="326" s="1"/>
  <c r="F140" i="326"/>
  <c r="F138" i="326"/>
  <c r="E140" i="326"/>
  <c r="E138" i="326" s="1"/>
  <c r="D140" i="326"/>
  <c r="D138" i="326"/>
  <c r="C140" i="326"/>
  <c r="C138" i="326"/>
  <c r="I139" i="326"/>
  <c r="J139" i="326"/>
  <c r="J137" i="326"/>
  <c r="I136" i="326"/>
  <c r="J136" i="326"/>
  <c r="K135" i="326"/>
  <c r="H135" i="326"/>
  <c r="G135" i="326"/>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s="1"/>
  <c r="I127" i="326"/>
  <c r="J127" i="326" s="1"/>
  <c r="I126" i="326"/>
  <c r="J126" i="326"/>
  <c r="I125" i="326"/>
  <c r="J125" i="326" s="1"/>
  <c r="I124" i="326"/>
  <c r="J124" i="326" s="1"/>
  <c r="I123" i="326"/>
  <c r="J123" i="326"/>
  <c r="I122" i="326"/>
  <c r="J122" i="326" s="1"/>
  <c r="I121" i="326"/>
  <c r="J121" i="326" s="1"/>
  <c r="I120" i="326"/>
  <c r="J120" i="326"/>
  <c r="I119" i="326"/>
  <c r="J119" i="326" s="1"/>
  <c r="K118" i="326"/>
  <c r="H118" i="326"/>
  <c r="G118" i="326"/>
  <c r="I118" i="326"/>
  <c r="F118" i="326"/>
  <c r="F117" i="326" s="1"/>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s="1"/>
  <c r="I101" i="326"/>
  <c r="J101" i="326" s="1"/>
  <c r="I100" i="326"/>
  <c r="J100" i="326" s="1"/>
  <c r="K99" i="326"/>
  <c r="H99" i="326"/>
  <c r="G99" i="326"/>
  <c r="I99" i="326" s="1"/>
  <c r="J99" i="326" s="1"/>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F76" i="326"/>
  <c r="F75" i="326" s="1"/>
  <c r="E76" i="326"/>
  <c r="D76" i="326"/>
  <c r="D75" i="326"/>
  <c r="C76" i="326"/>
  <c r="C75" i="326" s="1"/>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H45" i="326"/>
  <c r="G45" i="326"/>
  <c r="F45" i="326"/>
  <c r="E45" i="326"/>
  <c r="D45" i="326"/>
  <c r="D7"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s="1"/>
  <c r="K17" i="326"/>
  <c r="H17" i="326"/>
  <c r="G17" i="326"/>
  <c r="F17" i="326"/>
  <c r="E17" i="326"/>
  <c r="D17" i="326"/>
  <c r="C17" i="326"/>
  <c r="I16" i="326"/>
  <c r="J16" i="326"/>
  <c r="I15" i="326"/>
  <c r="J15" i="326"/>
  <c r="I14" i="326"/>
  <c r="J14" i="326"/>
  <c r="K13" i="326"/>
  <c r="H13" i="326"/>
  <c r="G13" i="326"/>
  <c r="F13" i="326"/>
  <c r="E13" i="326"/>
  <c r="D13" i="326"/>
  <c r="C13" i="326"/>
  <c r="I12" i="326"/>
  <c r="J12" i="326" s="1"/>
  <c r="I11" i="326"/>
  <c r="J11" i="326" s="1"/>
  <c r="I10" i="326"/>
  <c r="J10" i="326" s="1"/>
  <c r="C8" i="326"/>
  <c r="I161" i="242"/>
  <c r="J161" i="242" s="1"/>
  <c r="H160" i="242"/>
  <c r="I160" i="242" s="1"/>
  <c r="J160" i="242" s="1"/>
  <c r="G160" i="242"/>
  <c r="F160" i="242"/>
  <c r="E160" i="242"/>
  <c r="D160" i="242"/>
  <c r="C160" i="242"/>
  <c r="K140" i="242"/>
  <c r="K138" i="242" s="1"/>
  <c r="G140" i="242"/>
  <c r="F140" i="242"/>
  <c r="F138" i="242" s="1"/>
  <c r="E140" i="242"/>
  <c r="E138" i="242" s="1"/>
  <c r="D140" i="242"/>
  <c r="D138" i="242"/>
  <c r="C140" i="242"/>
  <c r="C138" i="242"/>
  <c r="I142" i="242"/>
  <c r="J142" i="242" s="1"/>
  <c r="I141" i="242"/>
  <c r="J141" i="242" s="1"/>
  <c r="I143" i="242"/>
  <c r="J143" i="242" s="1"/>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s="1"/>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I99" i="242" s="1"/>
  <c r="J99" i="242" s="1"/>
  <c r="F99" i="242"/>
  <c r="E99" i="242"/>
  <c r="D99" i="242"/>
  <c r="G76" i="242"/>
  <c r="F76" i="242"/>
  <c r="E76" i="242"/>
  <c r="D76" i="242"/>
  <c r="C99" i="242"/>
  <c r="C75" i="242" s="1"/>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I18" i="242"/>
  <c r="J18" i="242" s="1"/>
  <c r="I19" i="242"/>
  <c r="J19" i="242" s="1"/>
  <c r="I20" i="242"/>
  <c r="J20" i="242" s="1"/>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3" i="330"/>
  <c r="J243" i="330" s="1"/>
  <c r="A243" i="330"/>
  <c r="A239" i="330"/>
  <c r="K235" i="330"/>
  <c r="K47" i="241" s="1"/>
  <c r="G235" i="330"/>
  <c r="G47" i="241" s="1"/>
  <c r="F235" i="330"/>
  <c r="F47" i="241" s="1"/>
  <c r="E235" i="330"/>
  <c r="E47" i="241" s="1"/>
  <c r="D235" i="330"/>
  <c r="D47" i="241" s="1"/>
  <c r="C235" i="330"/>
  <c r="C47" i="241" s="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s="1"/>
  <c r="C186" i="330"/>
  <c r="C37" i="241" s="1"/>
  <c r="I188" i="330"/>
  <c r="J188" i="330" s="1"/>
  <c r="I187" i="330"/>
  <c r="J187" i="330" s="1"/>
  <c r="A176" i="330"/>
  <c r="A175" i="330"/>
  <c r="A174" i="330"/>
  <c r="K171" i="330"/>
  <c r="K35" i="241" s="1"/>
  <c r="G171" i="330"/>
  <c r="G35" i="241" s="1"/>
  <c r="F171" i="330"/>
  <c r="F35" i="241" s="1"/>
  <c r="E171" i="330"/>
  <c r="E35" i="241" s="1"/>
  <c r="D171" i="330"/>
  <c r="D35" i="241" s="1"/>
  <c r="C171" i="330"/>
  <c r="C35" i="241" s="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D29" i="241" s="1"/>
  <c r="K27" i="330"/>
  <c r="K11" i="241" s="1"/>
  <c r="H27" i="330"/>
  <c r="H11" i="241" s="1"/>
  <c r="G27" i="330"/>
  <c r="G11" i="241" s="1"/>
  <c r="F27" i="330"/>
  <c r="F11" i="241" s="1"/>
  <c r="E27" i="330"/>
  <c r="E11" i="241" s="1"/>
  <c r="D27" i="330"/>
  <c r="D11" i="241" s="1"/>
  <c r="C27" i="330"/>
  <c r="C11" i="241" s="1"/>
  <c r="K10" i="330"/>
  <c r="G8" i="241"/>
  <c r="E10" i="330"/>
  <c r="D10" i="330"/>
  <c r="D6" i="330" s="1"/>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G32" i="241" s="1"/>
  <c r="H146" i="330"/>
  <c r="H32" i="241" s="1"/>
  <c r="K146" i="330"/>
  <c r="K32" i="241" s="1"/>
  <c r="I147" i="330"/>
  <c r="J147" i="330" s="1"/>
  <c r="A148" i="330"/>
  <c r="A149" i="330"/>
  <c r="C149" i="330"/>
  <c r="C34" i="241" s="1"/>
  <c r="D149" i="330"/>
  <c r="D34" i="241" s="1"/>
  <c r="D33" i="241" s="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s="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s="1"/>
  <c r="I77" i="330"/>
  <c r="J77" i="330" s="1"/>
  <c r="I81" i="330"/>
  <c r="J81" i="330" s="1"/>
  <c r="I80" i="330"/>
  <c r="J80" i="330" s="1"/>
  <c r="I79" i="330"/>
  <c r="J79" i="330" s="1"/>
  <c r="I78" i="330"/>
  <c r="J78" i="330" s="1"/>
  <c r="I83" i="330"/>
  <c r="J83" i="330" s="1"/>
  <c r="I82" i="330"/>
  <c r="J82" i="330" s="1"/>
  <c r="K67" i="330"/>
  <c r="K15" i="241" s="1"/>
  <c r="H67" i="330"/>
  <c r="H15" i="241" s="1"/>
  <c r="I15" i="241" s="1"/>
  <c r="J15" i="241" s="1"/>
  <c r="G67" i="330"/>
  <c r="F67" i="330"/>
  <c r="F15" i="241"/>
  <c r="E67" i="330"/>
  <c r="E15" i="241" s="1"/>
  <c r="D67" i="330"/>
  <c r="C67" i="330"/>
  <c r="C15" i="241"/>
  <c r="H64" i="330"/>
  <c r="H14" i="241" s="1"/>
  <c r="G64" i="330"/>
  <c r="G14" i="241" s="1"/>
  <c r="F64" i="330"/>
  <c r="F14" i="241" s="1"/>
  <c r="E64" i="330"/>
  <c r="E14" i="241" s="1"/>
  <c r="D64" i="330"/>
  <c r="D14" i="241"/>
  <c r="K64" i="330"/>
  <c r="K14" i="241" s="1"/>
  <c r="C64" i="330"/>
  <c r="C14" i="241" s="1"/>
  <c r="I69" i="330"/>
  <c r="J69" i="330"/>
  <c r="I68" i="330"/>
  <c r="J68" i="330" s="1"/>
  <c r="I71" i="330"/>
  <c r="J71" i="330"/>
  <c r="I70" i="330"/>
  <c r="J70" i="330"/>
  <c r="I66" i="330"/>
  <c r="J66" i="330" s="1"/>
  <c r="I65" i="330"/>
  <c r="J65" i="330" s="1"/>
  <c r="K49" i="330"/>
  <c r="K12" i="241" s="1"/>
  <c r="G49" i="330"/>
  <c r="G12" i="241" s="1"/>
  <c r="F49" i="330"/>
  <c r="F12" i="241" s="1"/>
  <c r="E49" i="330"/>
  <c r="E12" i="241" s="1"/>
  <c r="D49" i="330"/>
  <c r="D12" i="241" s="1"/>
  <c r="C49" i="330"/>
  <c r="C12" i="241" s="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s="1"/>
  <c r="I60" i="318"/>
  <c r="J60" i="318" s="1"/>
  <c r="I59" i="318"/>
  <c r="J59" i="318"/>
  <c r="I58" i="318"/>
  <c r="J58" i="318" s="1"/>
  <c r="I57" i="318"/>
  <c r="J57" i="318" s="1"/>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s="1"/>
  <c r="K57" i="268"/>
  <c r="G57" i="268"/>
  <c r="F57" i="268"/>
  <c r="E57" i="268"/>
  <c r="D57" i="268"/>
  <c r="C57" i="268"/>
  <c r="C118" i="330"/>
  <c r="C25" i="241" s="1"/>
  <c r="E31" i="241"/>
  <c r="C8" i="241"/>
  <c r="J13" i="267"/>
  <c r="J14" i="267"/>
  <c r="J15" i="267"/>
  <c r="J17" i="267"/>
  <c r="G12" i="267"/>
  <c r="G13" i="267"/>
  <c r="G14" i="267"/>
  <c r="G15"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s="1"/>
  <c r="K196" i="323"/>
  <c r="K26" i="272" s="1"/>
  <c r="K207" i="323"/>
  <c r="K27" i="272" s="1"/>
  <c r="K218" i="323"/>
  <c r="K28" i="272"/>
  <c r="K229" i="323"/>
  <c r="K29" i="272" s="1"/>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26" i="272"/>
  <c r="G207" i="323"/>
  <c r="G27" i="272" s="1"/>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26" i="272"/>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s="1"/>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s="1"/>
  <c r="K171" i="324"/>
  <c r="K26" i="268" s="1"/>
  <c r="K160" i="324"/>
  <c r="K25" i="268" s="1"/>
  <c r="K149" i="324"/>
  <c r="K24" i="268" s="1"/>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H27" i="268" s="1"/>
  <c r="F182" i="324"/>
  <c r="F27" i="268" s="1"/>
  <c r="E182" i="324"/>
  <c r="E27" i="268" s="1"/>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G24" i="268" s="1"/>
  <c r="H149" i="324"/>
  <c r="H24" i="268" s="1"/>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c r="K23" i="324"/>
  <c r="K9" i="268" s="1"/>
  <c r="K18" i="324"/>
  <c r="K8" i="268" s="1"/>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G10" i="268" s="1"/>
  <c r="F29" i="324"/>
  <c r="F10" i="268" s="1"/>
  <c r="E29" i="324"/>
  <c r="E10" i="268" s="1"/>
  <c r="D29" i="324"/>
  <c r="D10" i="268"/>
  <c r="G23" i="324"/>
  <c r="G9" i="268" s="1"/>
  <c r="F23" i="324"/>
  <c r="F9" i="268" s="1"/>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s="1"/>
  <c r="C29" i="324"/>
  <c r="C10" i="268" s="1"/>
  <c r="C9" i="268"/>
  <c r="C18" i="324"/>
  <c r="C8" i="268" s="1"/>
  <c r="C12" i="324"/>
  <c r="C7" i="268" s="1"/>
  <c r="C7" i="324"/>
  <c r="C6" i="268" s="1"/>
  <c r="D70" i="268"/>
  <c r="D74" i="268"/>
  <c r="E70" i="268"/>
  <c r="D29" i="267" s="1"/>
  <c r="F70" i="268"/>
  <c r="F74" i="268" s="1"/>
  <c r="G70" i="268"/>
  <c r="H70" i="268"/>
  <c r="H74" i="268" s="1"/>
  <c r="C70" i="268"/>
  <c r="C74" i="268" s="1"/>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6" i="330" s="1"/>
  <c r="C24" i="330"/>
  <c r="C9" i="241" s="1"/>
  <c r="C87" i="330"/>
  <c r="C18" i="241" s="1"/>
  <c r="C92" i="330"/>
  <c r="C19" i="241" s="1"/>
  <c r="C100" i="330"/>
  <c r="C104" i="330"/>
  <c r="C22" i="241" s="1"/>
  <c r="C108" i="330"/>
  <c r="C23" i="241" s="1"/>
  <c r="K7" i="330"/>
  <c r="K24" i="330"/>
  <c r="K9" i="241" s="1"/>
  <c r="K87" i="330"/>
  <c r="K18" i="241" s="1"/>
  <c r="K92" i="330"/>
  <c r="K19" i="241"/>
  <c r="K100" i="330"/>
  <c r="K21" i="241" s="1"/>
  <c r="K104" i="330"/>
  <c r="K22" i="241" s="1"/>
  <c r="K108" i="330"/>
  <c r="K23" i="241" s="1"/>
  <c r="K118" i="330"/>
  <c r="K25" i="241" s="1"/>
  <c r="K129" i="330"/>
  <c r="K30" i="241" s="1"/>
  <c r="K177" i="330"/>
  <c r="K36" i="241" s="1"/>
  <c r="K189" i="330"/>
  <c r="K38" i="241" s="1"/>
  <c r="K198" i="330"/>
  <c r="K209" i="330"/>
  <c r="K41" i="241"/>
  <c r="K214" i="330"/>
  <c r="K42" i="241" s="1"/>
  <c r="K222" i="330"/>
  <c r="K44" i="241" s="1"/>
  <c r="K226" i="330"/>
  <c r="K45" i="241" s="1"/>
  <c r="K230" i="330"/>
  <c r="K46" i="241" s="1"/>
  <c r="K240" i="330"/>
  <c r="K48" i="241" s="1"/>
  <c r="H7" i="330"/>
  <c r="H7" i="241" s="1"/>
  <c r="H24" i="330"/>
  <c r="H9" i="241" s="1"/>
  <c r="H92" i="330"/>
  <c r="H19" i="241" s="1"/>
  <c r="H100" i="330"/>
  <c r="H21" i="241" s="1"/>
  <c r="H129" i="330"/>
  <c r="H189" i="330"/>
  <c r="H38" i="241" s="1"/>
  <c r="H209" i="330"/>
  <c r="H41" i="241" s="1"/>
  <c r="H226" i="330"/>
  <c r="G7" i="330"/>
  <c r="G7" i="241" s="1"/>
  <c r="G24" i="330"/>
  <c r="G87" i="330"/>
  <c r="G18" i="241" s="1"/>
  <c r="G92" i="330"/>
  <c r="G100" i="330"/>
  <c r="G21" i="241" s="1"/>
  <c r="G104" i="330"/>
  <c r="G22" i="241" s="1"/>
  <c r="G108" i="330"/>
  <c r="G118" i="330"/>
  <c r="G25" i="241" s="1"/>
  <c r="G129" i="330"/>
  <c r="G30" i="241" s="1"/>
  <c r="G36" i="241"/>
  <c r="G189" i="330"/>
  <c r="G38" i="241" s="1"/>
  <c r="G198" i="330"/>
  <c r="G40" i="241" s="1"/>
  <c r="G209" i="330"/>
  <c r="G41" i="241" s="1"/>
  <c r="G214" i="330"/>
  <c r="G42" i="241" s="1"/>
  <c r="G222" i="330"/>
  <c r="G44" i="241" s="1"/>
  <c r="G226" i="330"/>
  <c r="G45" i="241" s="1"/>
  <c r="G230" i="330"/>
  <c r="G46" i="241" s="1"/>
  <c r="G240" i="330"/>
  <c r="F7" i="330"/>
  <c r="F24" i="330"/>
  <c r="F87" i="330"/>
  <c r="F18" i="241" s="1"/>
  <c r="F92" i="330"/>
  <c r="F19" i="241" s="1"/>
  <c r="F100" i="330"/>
  <c r="F104" i="330"/>
  <c r="F22" i="241" s="1"/>
  <c r="F108" i="330"/>
  <c r="F23" i="241" s="1"/>
  <c r="F118" i="330"/>
  <c r="F25" i="241" s="1"/>
  <c r="F129" i="330"/>
  <c r="F30" i="241" s="1"/>
  <c r="F36" i="241"/>
  <c r="F189" i="330"/>
  <c r="F38" i="241" s="1"/>
  <c r="F198" i="330"/>
  <c r="F40" i="241" s="1"/>
  <c r="F209" i="330"/>
  <c r="F41" i="241" s="1"/>
  <c r="F214" i="330"/>
  <c r="F42" i="241" s="1"/>
  <c r="F222" i="330"/>
  <c r="F44" i="241" s="1"/>
  <c r="F226" i="330"/>
  <c r="F45" i="241" s="1"/>
  <c r="F230" i="330"/>
  <c r="F46" i="241" s="1"/>
  <c r="F240" i="330"/>
  <c r="F48" i="241" s="1"/>
  <c r="E7" i="330"/>
  <c r="E7" i="241" s="1"/>
  <c r="E24" i="330"/>
  <c r="E9" i="241" s="1"/>
  <c r="E87" i="330"/>
  <c r="E18" i="241" s="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s="1"/>
  <c r="E230" i="330"/>
  <c r="E46" i="241" s="1"/>
  <c r="E240" i="330"/>
  <c r="E48" i="241" s="1"/>
  <c r="D7" i="330"/>
  <c r="D7" i="241"/>
  <c r="D6" i="241" s="1"/>
  <c r="D24" i="330"/>
  <c r="D9" i="241" s="1"/>
  <c r="D87" i="330"/>
  <c r="D75" i="330" s="1"/>
  <c r="D92" i="330"/>
  <c r="D19" i="241"/>
  <c r="D100" i="330"/>
  <c r="D21" i="241" s="1"/>
  <c r="D20" i="241" s="1"/>
  <c r="D104" i="330"/>
  <c r="D22" i="241"/>
  <c r="D108" i="330"/>
  <c r="D23" i="241"/>
  <c r="D118" i="330"/>
  <c r="D25" i="241"/>
  <c r="D129" i="330"/>
  <c r="D32" i="241"/>
  <c r="D177" i="330"/>
  <c r="D189" i="330"/>
  <c r="D148" i="330" s="1"/>
  <c r="D198" i="330"/>
  <c r="D197" i="330" s="1"/>
  <c r="D40" i="241"/>
  <c r="D209" i="330"/>
  <c r="D41" i="241"/>
  <c r="D214" i="330"/>
  <c r="D42" i="241"/>
  <c r="D222" i="330"/>
  <c r="D44" i="241"/>
  <c r="D43" i="241" s="1"/>
  <c r="D226" i="330"/>
  <c r="D45" i="241"/>
  <c r="D230" i="330"/>
  <c r="D46" i="241"/>
  <c r="D240" i="330"/>
  <c r="D48" i="241"/>
  <c r="C240" i="330"/>
  <c r="C48" i="241" s="1"/>
  <c r="C230" i="330"/>
  <c r="C46" i="241" s="1"/>
  <c r="C226" i="330"/>
  <c r="C45" i="241"/>
  <c r="C222" i="330"/>
  <c r="C44" i="241" s="1"/>
  <c r="C214" i="330"/>
  <c r="C42" i="241" s="1"/>
  <c r="C209" i="330"/>
  <c r="C41" i="241"/>
  <c r="C198" i="330"/>
  <c r="C40" i="241" s="1"/>
  <c r="C189" i="330"/>
  <c r="C38" i="241" s="1"/>
  <c r="C177" i="330"/>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H37" i="177"/>
  <c r="G45" i="267" s="1"/>
  <c r="G37" i="177"/>
  <c r="F37" i="177"/>
  <c r="E45" i="267"/>
  <c r="E37" i="177"/>
  <c r="D45" i="267"/>
  <c r="D37" i="177"/>
  <c r="C45" i="267"/>
  <c r="C37" i="177"/>
  <c r="B45" i="267" s="1"/>
  <c r="K28" i="177"/>
  <c r="J44" i="267" s="1"/>
  <c r="H28" i="177"/>
  <c r="G44" i="267" s="1"/>
  <c r="G28" i="177"/>
  <c r="F28" i="177"/>
  <c r="E44" i="267" s="1"/>
  <c r="E28" i="177"/>
  <c r="D44" i="267" s="1"/>
  <c r="C28" i="177"/>
  <c r="B44" i="267" s="1"/>
  <c r="K18" i="177"/>
  <c r="J43" i="267" s="1"/>
  <c r="G18" i="177"/>
  <c r="F43" i="267" s="1"/>
  <c r="F18" i="177"/>
  <c r="E43" i="267" s="1"/>
  <c r="E18" i="177"/>
  <c r="D43" i="267" s="1"/>
  <c r="E77" i="100"/>
  <c r="E46" i="267"/>
  <c r="G48" i="178"/>
  <c r="H49" i="174" s="1"/>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s="1"/>
  <c r="C40" i="178"/>
  <c r="C35" i="178"/>
  <c r="B38" i="267" s="1"/>
  <c r="B37" i="267"/>
  <c r="C13" i="178"/>
  <c r="B36" i="267" s="1"/>
  <c r="J32" i="267"/>
  <c r="J31" i="267"/>
  <c r="G32" i="267"/>
  <c r="F32" i="267"/>
  <c r="E32" i="267"/>
  <c r="D32" i="267"/>
  <c r="C32" i="267"/>
  <c r="G31" i="267"/>
  <c r="F31" i="267"/>
  <c r="E31" i="267"/>
  <c r="D31" i="267"/>
  <c r="C31" i="267"/>
  <c r="B32" i="267"/>
  <c r="B31" i="267"/>
  <c r="B33" i="267" s="1"/>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C38" i="182" s="1"/>
  <c r="C42" i="182" s="1"/>
  <c r="C44" i="182" s="1"/>
  <c r="C46" i="182" s="1"/>
  <c r="C48" i="182" s="1"/>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s="1"/>
  <c r="C28" i="323"/>
  <c r="C8" i="272" s="1"/>
  <c r="C39" i="323"/>
  <c r="C9" i="272" s="1"/>
  <c r="C50" i="323"/>
  <c r="C10" i="272" s="1"/>
  <c r="C61" i="323"/>
  <c r="C11" i="272" s="1"/>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9" i="272" s="1"/>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s="1"/>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8" i="272"/>
  <c r="G30" i="272"/>
  <c r="I30" i="272"/>
  <c r="J30" i="272"/>
  <c r="G31" i="272"/>
  <c r="G32" i="272"/>
  <c r="I32" i="272"/>
  <c r="J32" i="272"/>
  <c r="H32"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s="1"/>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F13" i="178"/>
  <c r="G52" i="174" s="1"/>
  <c r="F48" i="178"/>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s="1"/>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s="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s="1"/>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s="1"/>
  <c r="I139" i="242"/>
  <c r="J139" i="242"/>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7" i="174" s="1"/>
  <c r="F44" i="174"/>
  <c r="F55" i="174"/>
  <c r="F27" i="174" s="1"/>
  <c r="E42" i="174"/>
  <c r="E44" i="174"/>
  <c r="H40" i="174"/>
  <c r="G40" i="174"/>
  <c r="F40" i="174"/>
  <c r="E40" i="174"/>
  <c r="D42" i="174"/>
  <c r="D7" i="174" s="1"/>
  <c r="D44" i="174"/>
  <c r="D27" i="174"/>
  <c r="D40" i="174"/>
  <c r="D26" i="174"/>
  <c r="H63" i="174"/>
  <c r="H18" i="174"/>
  <c r="G63" i="174"/>
  <c r="G18" i="174" s="1"/>
  <c r="F63" i="174"/>
  <c r="F18" i="174"/>
  <c r="E63" i="174"/>
  <c r="E18" i="174"/>
  <c r="H59" i="174"/>
  <c r="G59" i="174"/>
  <c r="F59" i="174"/>
  <c r="E59" i="174"/>
  <c r="D63" i="174"/>
  <c r="D18" i="174" s="1"/>
  <c r="D59" i="174"/>
  <c r="D17" i="174" s="1"/>
  <c r="E53" i="174"/>
  <c r="D53" i="174"/>
  <c r="D14" i="174" s="1"/>
  <c r="F52" i="174"/>
  <c r="D52" i="174"/>
  <c r="H51" i="174"/>
  <c r="H50" i="174"/>
  <c r="G51" i="174"/>
  <c r="G50" i="174"/>
  <c r="F51" i="174"/>
  <c r="F50" i="174"/>
  <c r="F11" i="174" s="1"/>
  <c r="E51" i="174"/>
  <c r="E50" i="174"/>
  <c r="D51" i="174"/>
  <c r="D50" i="174"/>
  <c r="H48" i="174"/>
  <c r="G48" i="174"/>
  <c r="F48" i="174"/>
  <c r="F49" i="174"/>
  <c r="E48" i="174"/>
  <c r="D48" i="174"/>
  <c r="D10" i="174" s="1"/>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33" i="269" s="1"/>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I67" i="318" s="1"/>
  <c r="J67" i="318" s="1"/>
  <c r="H67" i="318"/>
  <c r="K14" i="318"/>
  <c r="K15" i="318" s="1"/>
  <c r="K30" i="318"/>
  <c r="K46" i="318"/>
  <c r="K67" i="318"/>
  <c r="E14" i="318"/>
  <c r="E30" i="318"/>
  <c r="E46" i="318"/>
  <c r="E67" i="318"/>
  <c r="E68" i="318"/>
  <c r="E83" i="318"/>
  <c r="E84" i="318" s="1"/>
  <c r="E99" i="318"/>
  <c r="D14" i="318"/>
  <c r="D15" i="318"/>
  <c r="D30" i="318"/>
  <c r="D46"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s="1"/>
  <c r="I65" i="318"/>
  <c r="J65" i="318" s="1"/>
  <c r="I64" i="318"/>
  <c r="J64" i="318"/>
  <c r="I62" i="318"/>
  <c r="J62" i="318" s="1"/>
  <c r="I56" i="318"/>
  <c r="J56" i="318" s="1"/>
  <c r="I55" i="318"/>
  <c r="J55" i="318" s="1"/>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D31" i="318" s="1"/>
  <c r="C46" i="318"/>
  <c r="D47" i="318" s="1"/>
  <c r="K3" i="318"/>
  <c r="J3" i="318"/>
  <c r="I3" i="318"/>
  <c r="H3" i="318"/>
  <c r="G3" i="318"/>
  <c r="F3" i="318"/>
  <c r="E3" i="318"/>
  <c r="D3" i="318"/>
  <c r="C3" i="318"/>
  <c r="B2" i="318"/>
  <c r="F14" i="318"/>
  <c r="C67" i="318"/>
  <c r="F67" i="318"/>
  <c r="C99" i="318"/>
  <c r="C102" i="318" s="1"/>
  <c r="A107" i="318"/>
  <c r="P46" i="317"/>
  <c r="P65" i="317" s="1"/>
  <c r="O65" i="317"/>
  <c r="O55" i="317"/>
  <c r="Q46" i="317"/>
  <c r="Q52" i="317" s="1"/>
  <c r="D52" i="317"/>
  <c r="D54" i="317"/>
  <c r="C52" i="317"/>
  <c r="E65" i="317"/>
  <c r="E52" i="317"/>
  <c r="F52" i="317"/>
  <c r="F54" i="317"/>
  <c r="F66" i="317"/>
  <c r="I52" i="317"/>
  <c r="J52" i="317"/>
  <c r="M52" i="317"/>
  <c r="N36" i="317"/>
  <c r="N37" i="317"/>
  <c r="N38" i="317"/>
  <c r="N39" i="317"/>
  <c r="N40" i="317"/>
  <c r="N41" i="317"/>
  <c r="N42" i="317"/>
  <c r="N43" i="317"/>
  <c r="N44" i="317"/>
  <c r="N45" i="317"/>
  <c r="N49" i="317"/>
  <c r="N50" i="317"/>
  <c r="N51" i="317"/>
  <c r="N47" i="317"/>
  <c r="N6" i="317"/>
  <c r="N8" i="317"/>
  <c r="N9"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C28" i="272"/>
  <c r="D17" i="272"/>
  <c r="I72" i="323"/>
  <c r="J72" i="323"/>
  <c r="C31" i="183"/>
  <c r="F45" i="267"/>
  <c r="H15" i="272"/>
  <c r="I105" i="323"/>
  <c r="J105" i="323"/>
  <c r="J29" i="267"/>
  <c r="B100" i="100"/>
  <c r="K117" i="326"/>
  <c r="G110" i="335"/>
  <c r="I130" i="335"/>
  <c r="J130" i="335" s="1"/>
  <c r="H110" i="333"/>
  <c r="E117" i="333"/>
  <c r="I163" i="333"/>
  <c r="J163" i="333"/>
  <c r="E75" i="333"/>
  <c r="I69" i="333"/>
  <c r="J69" i="333"/>
  <c r="I111" i="333"/>
  <c r="J111"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C166" i="325" s="1"/>
  <c r="F110" i="325"/>
  <c r="E110" i="325"/>
  <c r="D7" i="325"/>
  <c r="I63" i="325"/>
  <c r="J63" i="325"/>
  <c r="H117" i="325"/>
  <c r="I157" i="325"/>
  <c r="J157" i="325"/>
  <c r="E7" i="325"/>
  <c r="E166" i="325" s="1"/>
  <c r="I99" i="325"/>
  <c r="J99" i="325"/>
  <c r="F110" i="326"/>
  <c r="E110" i="326"/>
  <c r="J63" i="326"/>
  <c r="I135" i="326"/>
  <c r="J135" i="326"/>
  <c r="I17" i="326"/>
  <c r="J17" i="326" s="1"/>
  <c r="I69" i="326"/>
  <c r="J69" i="326"/>
  <c r="I114" i="326"/>
  <c r="J114" i="326"/>
  <c r="I157" i="326"/>
  <c r="J157" i="326" s="1"/>
  <c r="C117" i="326"/>
  <c r="G117" i="326"/>
  <c r="I160" i="326"/>
  <c r="J160" i="326"/>
  <c r="H110" i="326"/>
  <c r="D117" i="326"/>
  <c r="H117" i="326"/>
  <c r="I148" i="326"/>
  <c r="J148" i="326"/>
  <c r="I13" i="326"/>
  <c r="J13" i="326"/>
  <c r="E7" i="326"/>
  <c r="J163" i="326"/>
  <c r="E117" i="326"/>
  <c r="J118" i="326"/>
  <c r="E75" i="326"/>
  <c r="I103" i="326"/>
  <c r="J103" i="326" s="1"/>
  <c r="I151" i="326"/>
  <c r="J151" i="326" s="1"/>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24" i="330"/>
  <c r="J24" i="330" s="1"/>
  <c r="I67" i="330"/>
  <c r="J67" i="330" s="1"/>
  <c r="C21" i="241"/>
  <c r="G9" i="241"/>
  <c r="I9" i="241" s="1"/>
  <c r="J9" i="241" s="1"/>
  <c r="E8" i="241"/>
  <c r="C53" i="182"/>
  <c r="D11" i="267"/>
  <c r="I53" i="242"/>
  <c r="J53" i="242"/>
  <c r="I114" i="242"/>
  <c r="J114" i="242" s="1"/>
  <c r="D36" i="241"/>
  <c r="C221" i="330"/>
  <c r="C128" i="330"/>
  <c r="C99" i="330"/>
  <c r="O52" i="317"/>
  <c r="O54" i="317" s="1"/>
  <c r="D31" i="183"/>
  <c r="E7" i="272"/>
  <c r="G8" i="334"/>
  <c r="G65" i="317"/>
  <c r="G52" i="317"/>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8" i="335"/>
  <c r="J118" i="335"/>
  <c r="H14" i="272"/>
  <c r="D45" i="174"/>
  <c r="J36" i="267"/>
  <c r="H52" i="174"/>
  <c r="E22" i="241"/>
  <c r="A207" i="323"/>
  <c r="A23" i="324"/>
  <c r="A27" i="272"/>
  <c r="A182" i="324"/>
  <c r="C28" i="334"/>
  <c r="G32" i="334"/>
  <c r="F31" i="334"/>
  <c r="G138" i="242"/>
  <c r="G110" i="326"/>
  <c r="I110" i="326"/>
  <c r="J110" i="326"/>
  <c r="I111" i="326"/>
  <c r="J111" i="326"/>
  <c r="C7" i="333"/>
  <c r="C75" i="333"/>
  <c r="B11" i="267"/>
  <c r="B39" i="267"/>
  <c r="C41" i="178"/>
  <c r="B99" i="100"/>
  <c r="B94" i="100"/>
  <c r="A18" i="268"/>
  <c r="A18" i="272"/>
  <c r="A251" i="323"/>
  <c r="A13" i="272"/>
  <c r="D28" i="334"/>
  <c r="D49" i="334"/>
  <c r="K110" i="325"/>
  <c r="K7" i="335"/>
  <c r="I13" i="242"/>
  <c r="J13" i="242" s="1"/>
  <c r="B3" i="100"/>
  <c r="D2" i="326" s="1"/>
  <c r="A39" i="323"/>
  <c r="B98" i="100"/>
  <c r="A149" i="324"/>
  <c r="A28" i="268"/>
  <c r="A13" i="268"/>
  <c r="A6" i="268"/>
  <c r="A7" i="324"/>
  <c r="A32" i="272"/>
  <c r="A9" i="272"/>
  <c r="A138" i="323"/>
  <c r="A50" i="323"/>
  <c r="B77" i="100"/>
  <c r="B93" i="100"/>
  <c r="E31" i="183"/>
  <c r="C63" i="268"/>
  <c r="C29" i="267"/>
  <c r="C33" i="267"/>
  <c r="D18" i="267"/>
  <c r="G34" i="272"/>
  <c r="I251" i="323"/>
  <c r="J251" i="323"/>
  <c r="A35" i="268"/>
  <c r="A35" i="272"/>
  <c r="A270" i="324"/>
  <c r="A14" i="268"/>
  <c r="A24" i="268"/>
  <c r="E28" i="334"/>
  <c r="E49" i="334"/>
  <c r="G46" i="334"/>
  <c r="C7" i="242"/>
  <c r="C7" i="335"/>
  <c r="C166" i="335"/>
  <c r="D7" i="242"/>
  <c r="C110" i="325"/>
  <c r="I114" i="325"/>
  <c r="J114" i="325"/>
  <c r="I140" i="325"/>
  <c r="J140" i="325"/>
  <c r="I135" i="335"/>
  <c r="J135" i="335"/>
  <c r="G31" i="334"/>
  <c r="D30" i="241"/>
  <c r="D128" i="330"/>
  <c r="I28" i="177"/>
  <c r="J28" i="177" s="1"/>
  <c r="K68" i="318"/>
  <c r="I29" i="183"/>
  <c r="I31" i="183"/>
  <c r="G31" i="183"/>
  <c r="D2" i="269"/>
  <c r="I65" i="317"/>
  <c r="G22" i="334"/>
  <c r="C54" i="317"/>
  <c r="C56" i="317" s="1"/>
  <c r="D55" i="317" s="1"/>
  <c r="D56" i="317" s="1"/>
  <c r="E55" i="317" s="1"/>
  <c r="L52" i="317"/>
  <c r="L54" i="317"/>
  <c r="L66" i="317" s="1"/>
  <c r="L65" i="317"/>
  <c r="D2" i="241"/>
  <c r="D2" i="183"/>
  <c r="C2" i="317"/>
  <c r="D2" i="177"/>
  <c r="J65" i="317"/>
  <c r="G18" i="272"/>
  <c r="H20" i="272"/>
  <c r="I116" i="323"/>
  <c r="J116" i="323"/>
  <c r="A196" i="323"/>
  <c r="A8" i="268"/>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G14" i="272"/>
  <c r="I14" i="272"/>
  <c r="J14" i="272"/>
  <c r="B43" i="267"/>
  <c r="D2" i="174"/>
  <c r="C2" i="268"/>
  <c r="C2" i="269"/>
  <c r="H34" i="272"/>
  <c r="I34" i="272"/>
  <c r="J34" i="272"/>
  <c r="I110" i="325"/>
  <c r="J110" i="325"/>
  <c r="E100" i="318"/>
  <c r="E102" i="318"/>
  <c r="C49" i="334"/>
  <c r="G36" i="272"/>
  <c r="I306" i="323"/>
  <c r="J306" i="323"/>
  <c r="G41" i="334"/>
  <c r="F47" i="334"/>
  <c r="G47" i="334"/>
  <c r="E12" i="272"/>
  <c r="D2" i="242"/>
  <c r="C77" i="172"/>
  <c r="D2" i="323"/>
  <c r="C2" i="267"/>
  <c r="D2" i="333"/>
  <c r="F16" i="334"/>
  <c r="K52" i="317"/>
  <c r="K65" i="317"/>
  <c r="E106" i="318"/>
  <c r="E49" i="318"/>
  <c r="E104" i="318" s="1"/>
  <c r="F31" i="183"/>
  <c r="C47" i="334"/>
  <c r="I38" i="272"/>
  <c r="J38" i="272"/>
  <c r="K7" i="333"/>
  <c r="E75" i="325"/>
  <c r="I114" i="333"/>
  <c r="J114" i="333"/>
  <c r="G110" i="333"/>
  <c r="I110" i="333"/>
  <c r="J110" i="333"/>
  <c r="E110" i="335"/>
  <c r="C110" i="333"/>
  <c r="G138" i="335"/>
  <c r="E7" i="335"/>
  <c r="G16" i="334"/>
  <c r="F28" i="334"/>
  <c r="F49" i="334"/>
  <c r="G49" i="334"/>
  <c r="G28" i="334"/>
  <c r="D63" i="268"/>
  <c r="I37" i="272"/>
  <c r="J37" i="272"/>
  <c r="I273" i="323"/>
  <c r="J273" i="323"/>
  <c r="D339" i="323"/>
  <c r="C339" i="323"/>
  <c r="W340" i="323"/>
  <c r="C25" i="272"/>
  <c r="P340" i="323"/>
  <c r="R340" i="323"/>
  <c r="T340" i="323"/>
  <c r="L340" i="323"/>
  <c r="O340" i="323"/>
  <c r="G20" i="272"/>
  <c r="I20" i="272"/>
  <c r="J20" i="272"/>
  <c r="H19" i="272"/>
  <c r="I19" i="272"/>
  <c r="J19" i="272"/>
  <c r="H18" i="272"/>
  <c r="I18" i="272"/>
  <c r="J18" i="272"/>
  <c r="C171" i="323"/>
  <c r="A218" i="323"/>
  <c r="A28" i="272"/>
  <c r="A10" i="272"/>
  <c r="A10" i="268"/>
  <c r="D39" i="272"/>
  <c r="D171" i="323"/>
  <c r="D8" i="272"/>
  <c r="D38" i="241"/>
  <c r="D15" i="241"/>
  <c r="G54" i="317"/>
  <c r="G66" i="317" s="1"/>
  <c r="M54" i="317"/>
  <c r="M66" i="317" s="1"/>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D21" i="268"/>
  <c r="H18" i="324"/>
  <c r="H19" i="268"/>
  <c r="I19" i="268"/>
  <c r="J19" i="268"/>
  <c r="I281" i="324"/>
  <c r="I17" i="268"/>
  <c r="J17" i="268"/>
  <c r="C314" i="324"/>
  <c r="T315" i="324"/>
  <c r="D39" i="268"/>
  <c r="U315" i="324"/>
  <c r="H34" i="268"/>
  <c r="I259" i="324"/>
  <c r="C39" i="268"/>
  <c r="D314" i="324"/>
  <c r="C145" i="324"/>
  <c r="C316" i="324" s="1"/>
  <c r="G16" i="268"/>
  <c r="I16" i="268"/>
  <c r="J16" i="268"/>
  <c r="G30" i="268"/>
  <c r="I215" i="324"/>
  <c r="H35" i="268"/>
  <c r="I270" i="324"/>
  <c r="H15" i="268"/>
  <c r="I15" i="268"/>
  <c r="J15" i="268"/>
  <c r="H7" i="324"/>
  <c r="H6" i="268" s="1"/>
  <c r="H12" i="324"/>
  <c r="I14" i="324"/>
  <c r="J14" i="324" s="1"/>
  <c r="H32" i="268"/>
  <c r="I237" i="324"/>
  <c r="H37" i="268"/>
  <c r="I292" i="324"/>
  <c r="G20" i="268"/>
  <c r="I20" i="268"/>
  <c r="J20" i="268"/>
  <c r="G33" i="268"/>
  <c r="I248" i="324"/>
  <c r="G38" i="268"/>
  <c r="I303" i="324"/>
  <c r="H23" i="324"/>
  <c r="H9" i="268" s="1"/>
  <c r="K13" i="241"/>
  <c r="H8" i="269"/>
  <c r="H17" i="269"/>
  <c r="K66" i="317"/>
  <c r="D49"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s="1"/>
  <c r="H35" i="324"/>
  <c r="H11" i="268" s="1"/>
  <c r="I27" i="324"/>
  <c r="J27" i="324" s="1"/>
  <c r="H57" i="268"/>
  <c r="I57" i="268" s="1"/>
  <c r="J57" i="268" s="1"/>
  <c r="I49" i="268"/>
  <c r="J49" i="268" s="1"/>
  <c r="I45" i="268"/>
  <c r="J45" i="268" s="1"/>
  <c r="H235" i="330"/>
  <c r="H47" i="241" s="1"/>
  <c r="I223" i="330"/>
  <c r="J223" i="330" s="1"/>
  <c r="I179" i="330"/>
  <c r="J179" i="330" s="1"/>
  <c r="H171" i="330"/>
  <c r="H118" i="330"/>
  <c r="H25" i="241" s="1"/>
  <c r="I88" i="330"/>
  <c r="J88" i="330" s="1"/>
  <c r="D316" i="324"/>
  <c r="I31" i="268"/>
  <c r="J31" i="268"/>
  <c r="D40" i="268"/>
  <c r="J281" i="324"/>
  <c r="I36" i="268"/>
  <c r="J36" i="268"/>
  <c r="I38" i="268"/>
  <c r="J38" i="268"/>
  <c r="J303" i="324"/>
  <c r="I30" i="268"/>
  <c r="J30" i="268"/>
  <c r="J215" i="324"/>
  <c r="J248" i="324"/>
  <c r="I33" i="268"/>
  <c r="J33" i="268"/>
  <c r="I32" i="268"/>
  <c r="J32" i="268"/>
  <c r="J237" i="324"/>
  <c r="J292" i="324"/>
  <c r="I37" i="268"/>
  <c r="J37" i="268"/>
  <c r="I35" i="268"/>
  <c r="J35" i="268"/>
  <c r="J270" i="324"/>
  <c r="I34" i="268"/>
  <c r="J34" i="268"/>
  <c r="J259" i="324"/>
  <c r="D86" i="268"/>
  <c r="E46" i="174"/>
  <c r="E8" i="174"/>
  <c r="C28" i="267"/>
  <c r="G8" i="272"/>
  <c r="D43" i="178"/>
  <c r="D54" i="178"/>
  <c r="C37" i="267"/>
  <c r="H45" i="335"/>
  <c r="H27" i="335"/>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K49" i="318"/>
  <c r="I58" i="269"/>
  <c r="J58" i="269"/>
  <c r="D62" i="269"/>
  <c r="I31" i="269"/>
  <c r="J31" i="269"/>
  <c r="D33" i="269"/>
  <c r="I29" i="269"/>
  <c r="J29" i="269"/>
  <c r="C62" i="269"/>
  <c r="C64" i="269" s="1"/>
  <c r="I60" i="269"/>
  <c r="J60" i="269"/>
  <c r="K33" i="269"/>
  <c r="E62"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I113" i="330"/>
  <c r="J113" i="330" s="1"/>
  <c r="H18" i="241"/>
  <c r="I60" i="330"/>
  <c r="J60" i="330" s="1"/>
  <c r="H49" i="330"/>
  <c r="H12" i="241" s="1"/>
  <c r="K8" i="241"/>
  <c r="A1" i="331"/>
  <c r="B4" i="331"/>
  <c r="B8" i="331"/>
  <c r="A1" i="328"/>
  <c r="H50" i="267"/>
  <c r="I157" i="335"/>
  <c r="J157" i="335" s="1"/>
  <c r="H6" i="180"/>
  <c r="I6" i="180" s="1"/>
  <c r="C31" i="172"/>
  <c r="G10" i="180"/>
  <c r="D64" i="269"/>
  <c r="E17" i="174"/>
  <c r="E26" i="174"/>
  <c r="E28" i="174"/>
  <c r="E27" i="174"/>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I117" i="326" l="1"/>
  <c r="J117" i="326" s="1"/>
  <c r="G75" i="326"/>
  <c r="I17" i="242"/>
  <c r="J17" i="242" s="1"/>
  <c r="H17" i="267"/>
  <c r="I17" i="267" s="1"/>
  <c r="C166" i="333"/>
  <c r="C166" i="326"/>
  <c r="C166" i="242"/>
  <c r="C171" i="335" s="1"/>
  <c r="N46" i="317"/>
  <c r="N65" i="317" s="1"/>
  <c r="E56" i="317"/>
  <c r="F55" i="317" s="1"/>
  <c r="F56" i="317" s="1"/>
  <c r="G55" i="317" s="1"/>
  <c r="G56" i="317" s="1"/>
  <c r="H55" i="317" s="1"/>
  <c r="H56" i="317" s="1"/>
  <c r="I55" i="317" s="1"/>
  <c r="I56" i="317" s="1"/>
  <c r="J55" i="317" s="1"/>
  <c r="J56" i="317" s="1"/>
  <c r="K55" i="317" s="1"/>
  <c r="K56" i="317" s="1"/>
  <c r="L55" i="317" s="1"/>
  <c r="L56" i="317" s="1"/>
  <c r="M55" i="317" s="1"/>
  <c r="M56" i="317" s="1"/>
  <c r="N55" i="317" s="1"/>
  <c r="J66" i="317"/>
  <c r="K100" i="318"/>
  <c r="E47" i="318"/>
  <c r="K47" i="318"/>
  <c r="C106" i="318"/>
  <c r="C49" i="318"/>
  <c r="D50" i="318" s="1"/>
  <c r="K31" i="318"/>
  <c r="C104" i="318"/>
  <c r="E105" i="318" s="1"/>
  <c r="E15" i="318"/>
  <c r="K50" i="318"/>
  <c r="C63" i="270"/>
  <c r="C39" i="177"/>
  <c r="C41" i="177" s="1"/>
  <c r="B46" i="267" s="1"/>
  <c r="D11" i="174"/>
  <c r="C43" i="178"/>
  <c r="C54" i="178" s="1"/>
  <c r="D39" i="174"/>
  <c r="C21" i="268"/>
  <c r="C40" i="268" s="1"/>
  <c r="B28" i="267" s="1"/>
  <c r="D46" i="174"/>
  <c r="D8" i="174" s="1"/>
  <c r="C86" i="268"/>
  <c r="B18" i="267"/>
  <c r="B19" i="267" s="1"/>
  <c r="B20" i="267" s="1"/>
  <c r="B23" i="267" s="1"/>
  <c r="B25" i="267" s="1"/>
  <c r="D28" i="174"/>
  <c r="C341" i="323"/>
  <c r="C39" i="272"/>
  <c r="C21" i="272"/>
  <c r="C40" i="272" s="1"/>
  <c r="C197" i="330"/>
  <c r="C39" i="241"/>
  <c r="C148" i="330"/>
  <c r="C247" i="330" s="1"/>
  <c r="C257" i="330" s="1"/>
  <c r="C36" i="241"/>
  <c r="C33" i="241"/>
  <c r="C29" i="241"/>
  <c r="C20" i="241"/>
  <c r="C75" i="330"/>
  <c r="C10" i="241"/>
  <c r="O56" i="317"/>
  <c r="P55" i="317" s="1"/>
  <c r="O66" i="317"/>
  <c r="P52" i="317"/>
  <c r="P54" i="317" s="1"/>
  <c r="P56" i="317" s="1"/>
  <c r="Q55" i="317" s="1"/>
  <c r="Q54" i="317"/>
  <c r="I17" i="335"/>
  <c r="J17" i="335" s="1"/>
  <c r="I138" i="326"/>
  <c r="J138" i="326" s="1"/>
  <c r="I226" i="330"/>
  <c r="J226" i="330" s="1"/>
  <c r="H45" i="241"/>
  <c r="G49" i="174"/>
  <c r="G10" i="174" s="1"/>
  <c r="F75" i="242"/>
  <c r="G75" i="242"/>
  <c r="I15" i="180"/>
  <c r="I154" i="333"/>
  <c r="J154" i="333" s="1"/>
  <c r="I140" i="326"/>
  <c r="J140" i="326" s="1"/>
  <c r="I27" i="326"/>
  <c r="J27" i="326" s="1"/>
  <c r="I149" i="324"/>
  <c r="J149" i="324" s="1"/>
  <c r="F7" i="325"/>
  <c r="F166" i="325" s="1"/>
  <c r="I38" i="326"/>
  <c r="J38" i="326" s="1"/>
  <c r="F7" i="242"/>
  <c r="F61" i="270"/>
  <c r="N24" i="238"/>
  <c r="O12" i="238"/>
  <c r="H138" i="335"/>
  <c r="I138" i="335" s="1"/>
  <c r="J138" i="335" s="1"/>
  <c r="H6" i="267"/>
  <c r="I6" i="267" s="1"/>
  <c r="I75" i="326"/>
  <c r="J75" i="326" s="1"/>
  <c r="E166" i="326"/>
  <c r="K7" i="326"/>
  <c r="E75" i="335"/>
  <c r="E33" i="270"/>
  <c r="K39" i="177"/>
  <c r="K41" i="177" s="1"/>
  <c r="J46" i="267" s="1"/>
  <c r="H11" i="174"/>
  <c r="J40" i="267"/>
  <c r="J37" i="267"/>
  <c r="E26" i="178"/>
  <c r="I182" i="324"/>
  <c r="K314" i="324"/>
  <c r="K316" i="324" s="1"/>
  <c r="D33" i="267"/>
  <c r="K63" i="268"/>
  <c r="H7" i="174"/>
  <c r="D19" i="267"/>
  <c r="C16" i="241"/>
  <c r="D10" i="241"/>
  <c r="D26" i="241" s="1"/>
  <c r="D26" i="330"/>
  <c r="D125" i="330" s="1"/>
  <c r="D256" i="330" s="1"/>
  <c r="D99" i="330"/>
  <c r="I45" i="241"/>
  <c r="J45" i="241" s="1"/>
  <c r="C26" i="330"/>
  <c r="C125" i="330" s="1"/>
  <c r="D221" i="330"/>
  <c r="C7" i="241"/>
  <c r="C6" i="241" s="1"/>
  <c r="K221" i="330"/>
  <c r="D18" i="241"/>
  <c r="D16" i="241" s="1"/>
  <c r="D39" i="241"/>
  <c r="I171" i="330"/>
  <c r="J171" i="330" s="1"/>
  <c r="E99" i="330"/>
  <c r="F6" i="330"/>
  <c r="C43" i="241"/>
  <c r="D49" i="241"/>
  <c r="D247" i="330"/>
  <c r="K43" i="241"/>
  <c r="K26" i="330"/>
  <c r="E6" i="330"/>
  <c r="J14" i="180"/>
  <c r="G50" i="267"/>
  <c r="G14" i="174"/>
  <c r="I50" i="267"/>
  <c r="E26" i="175"/>
  <c r="E27" i="175" s="1"/>
  <c r="J26" i="175"/>
  <c r="J27" i="175" s="1"/>
  <c r="D53" i="172"/>
  <c r="F39" i="177"/>
  <c r="F75" i="335"/>
  <c r="G117" i="325"/>
  <c r="I117" i="325" s="1"/>
  <c r="J117" i="325" s="1"/>
  <c r="F7" i="326"/>
  <c r="F166" i="326" s="1"/>
  <c r="F117" i="242"/>
  <c r="F62" i="269"/>
  <c r="F64" i="269" s="1"/>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62" i="269"/>
  <c r="K64" i="269" s="1"/>
  <c r="K61" i="270"/>
  <c r="K63" i="270" s="1"/>
  <c r="J45" i="267"/>
  <c r="H10" i="174"/>
  <c r="H13" i="174"/>
  <c r="G43" i="178"/>
  <c r="G54" i="178" s="1"/>
  <c r="K21" i="268"/>
  <c r="K39" i="268"/>
  <c r="J33" i="267"/>
  <c r="J18" i="267"/>
  <c r="J19" i="267" s="1"/>
  <c r="J11" i="267"/>
  <c r="H55" i="174"/>
  <c r="H27" i="174" s="1"/>
  <c r="K38" i="182"/>
  <c r="K42" i="182" s="1"/>
  <c r="K44" i="182" s="1"/>
  <c r="K46" i="182" s="1"/>
  <c r="K48" i="182" s="1"/>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I104" i="330"/>
  <c r="J104" i="330" s="1"/>
  <c r="G99" i="330"/>
  <c r="K197" i="330"/>
  <c r="K40" i="241"/>
  <c r="K39" i="241" s="1"/>
  <c r="K148" i="330"/>
  <c r="K33" i="241"/>
  <c r="K128" i="330"/>
  <c r="K31" i="241"/>
  <c r="K29" i="241" s="1"/>
  <c r="K20" i="241"/>
  <c r="K99" i="330"/>
  <c r="K75" i="330"/>
  <c r="K17" i="241"/>
  <c r="K16" i="241" s="1"/>
  <c r="K10" i="241"/>
  <c r="K6" i="330"/>
  <c r="K7" i="241"/>
  <c r="K6" i="241" s="1"/>
  <c r="E166" i="335"/>
  <c r="E7" i="333"/>
  <c r="E166" i="333" s="1"/>
  <c r="D102" i="318"/>
  <c r="D104" i="318" s="1"/>
  <c r="D106" i="318"/>
  <c r="E33" i="269"/>
  <c r="E64" i="269" s="1"/>
  <c r="E61" i="270"/>
  <c r="E63" i="270" s="1"/>
  <c r="F10" i="174"/>
  <c r="E41" i="178"/>
  <c r="E43" i="178" s="1"/>
  <c r="E54" i="178" s="1"/>
  <c r="F53" i="174"/>
  <c r="F39" i="174"/>
  <c r="D37" i="267"/>
  <c r="E39" i="268"/>
  <c r="E314" i="324"/>
  <c r="E21" i="268"/>
  <c r="E145" i="324"/>
  <c r="E74" i="268"/>
  <c r="E63" i="268"/>
  <c r="D20" i="267"/>
  <c r="D23" i="267" s="1"/>
  <c r="D25" i="267" s="1"/>
  <c r="F28" i="174"/>
  <c r="F26" i="174"/>
  <c r="F17" i="174"/>
  <c r="E339" i="323"/>
  <c r="E39" i="272"/>
  <c r="E21" i="272"/>
  <c r="E40" i="272" s="1"/>
  <c r="E171" i="323"/>
  <c r="E221" i="330"/>
  <c r="E43" i="241"/>
  <c r="E39" i="241"/>
  <c r="E197" i="330"/>
  <c r="D257"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H16" i="180"/>
  <c r="I16" i="180" s="1"/>
  <c r="G74" i="268"/>
  <c r="I74" i="268" s="1"/>
  <c r="J74" i="268" s="1"/>
  <c r="F29" i="267"/>
  <c r="B61" i="100"/>
  <c r="A1" i="175" s="1"/>
  <c r="O20" i="238"/>
  <c r="O22" i="238" s="1"/>
  <c r="G7" i="174"/>
  <c r="K21" i="175"/>
  <c r="G62" i="269"/>
  <c r="G75" i="335"/>
  <c r="I75" i="335" s="1"/>
  <c r="J75" i="335" s="1"/>
  <c r="I99" i="333"/>
  <c r="J99" i="333" s="1"/>
  <c r="I17" i="325"/>
  <c r="J17" i="325" s="1"/>
  <c r="I38" i="242"/>
  <c r="J38" i="242" s="1"/>
  <c r="J17" i="180"/>
  <c r="J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F38" i="182"/>
  <c r="F42" i="182" s="1"/>
  <c r="F44" i="182" s="1"/>
  <c r="F46" i="182" s="1"/>
  <c r="F48" i="182" s="1"/>
  <c r="D104" i="172"/>
  <c r="C79" i="172"/>
  <c r="B79" i="172" s="1"/>
  <c r="D166" i="242"/>
  <c r="I76" i="242"/>
  <c r="J76" i="242" s="1"/>
  <c r="D171" i="326"/>
  <c r="D171" i="335"/>
  <c r="D171" i="242"/>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I154" i="242"/>
  <c r="J154" i="242" s="1"/>
  <c r="H7" i="180"/>
  <c r="I7" i="180" s="1"/>
  <c r="J7" i="180"/>
  <c r="H13" i="180"/>
  <c r="I13" i="180" s="1"/>
  <c r="H17" i="180"/>
  <c r="I17" i="180" s="1"/>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G166" i="242" l="1"/>
  <c r="C171" i="242"/>
  <c r="C171" i="326"/>
  <c r="N52" i="317"/>
  <c r="E50" i="318"/>
  <c r="K105" i="318"/>
  <c r="D105" i="318"/>
  <c r="C49" i="241"/>
  <c r="C26" i="241"/>
  <c r="Q56" i="317"/>
  <c r="P66" i="317"/>
  <c r="I24" i="268"/>
  <c r="J24" i="268" s="1"/>
  <c r="F166" i="242"/>
  <c r="O24" i="238"/>
  <c r="J182" i="324"/>
  <c r="I27" i="268"/>
  <c r="J27" i="268" s="1"/>
  <c r="H17" i="174"/>
  <c r="E341" i="323"/>
  <c r="C248" i="330"/>
  <c r="C256" i="330"/>
  <c r="D248" i="330"/>
  <c r="D50" i="241"/>
  <c r="F6" i="241"/>
  <c r="F26" i="241" s="1"/>
  <c r="K247" i="330"/>
  <c r="K257" i="330" s="1"/>
  <c r="I24" i="272"/>
  <c r="I39" i="272" s="1"/>
  <c r="H46" i="267"/>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I10" i="241"/>
  <c r="J10" i="241" s="1"/>
  <c r="H166" i="335"/>
  <c r="H166" i="325"/>
  <c r="I7" i="326"/>
  <c r="J7" i="326" s="1"/>
  <c r="H166" i="326"/>
  <c r="I166" i="326" s="1"/>
  <c r="J166" i="326" s="1"/>
  <c r="H166" i="242"/>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I166" i="242" l="1"/>
  <c r="J166" i="242" s="1"/>
  <c r="C50" i="241"/>
  <c r="J24" i="272"/>
  <c r="E171" i="242"/>
  <c r="E171" i="335"/>
  <c r="E171" i="326"/>
  <c r="I166" i="325"/>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 r="N7" i="317"/>
  <c r="N10" i="317"/>
  <c r="N21" i="317" s="1"/>
  <c r="N33" i="317" s="1"/>
  <c r="N54" i="317" s="1"/>
  <c r="N66" i="317" l="1"/>
  <c r="N56" i="317"/>
</calcChain>
</file>

<file path=xl/sharedStrings.xml><?xml version="1.0" encoding="utf-8"?>
<sst xmlns="http://schemas.openxmlformats.org/spreadsheetml/2006/main" count="3028" uniqueCount="1489">
  <si>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</si>
  <si>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</si>
  <si>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</si>
  <si>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</si>
  <si>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</si>
  <si>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</si>
  <si>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</si>
  <si>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</si>
  <si>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</si>
  <si>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</si>
  <si>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</si>
  <si>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</si>
  <si>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</si>
  <si>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</si>
  <si>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</si>
  <si>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</si>
  <si>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</si>
  <si>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</si>
  <si>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</si>
  <si>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</si>
  <si>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</si>
  <si>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</si>
  <si>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</si>
  <si>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</si>
  <si>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</si>
  <si>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</si>
  <si>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</si>
  <si>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</si>
  <si>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</si>
  <si>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</si>
  <si>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</si>
  <si>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</si>
  <si>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</si>
  <si>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</si>
  <si>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</si>
  <si>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</si>
  <si>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</si>
  <si>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</si>
  <si>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</si>
  <si>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</si>
  <si>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</si>
  <si>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</si>
  <si>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</si>
  <si>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</si>
  <si>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</si>
  <si>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</si>
  <si>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</si>
  <si>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</si>
  <si>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</si>
  <si>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</si>
  <si>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</si>
  <si>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</si>
  <si>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</si>
  <si>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</si>
  <si>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</si>
  <si>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</si>
  <si>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</si>
  <si>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</si>
  <si>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</si>
  <si>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</si>
  <si>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</si>
  <si>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</si>
  <si>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</si>
  <si>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</si>
  <si>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</si>
  <si>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</si>
  <si>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</si>
  <si>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</si>
  <si>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</si>
  <si>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</si>
  <si>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</si>
  <si>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</si>
  <si>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</si>
  <si>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</si>
  <si>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</si>
  <si>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</si>
  <si>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</si>
  <si>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</si>
  <si>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</si>
  <si>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</si>
  <si>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</si>
  <si>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</si>
  <si>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</si>
  <si>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</si>
  <si>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</si>
  <si>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</si>
  <si>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</si>
  <si>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</si>
  <si>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</si>
  <si>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</si>
  <si>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</si>
  <si>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</si>
  <si>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</si>
  <si>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</si>
  <si>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</si>
  <si>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</si>
  <si>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</si>
  <si>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</si>
  <si>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</si>
  <si>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</si>
  <si>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</si>
  <si>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</si>
  <si>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</si>
  <si>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</si>
  <si>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</si>
  <si>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</si>
  <si>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</si>
  <si>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</si>
  <si>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</si>
  <si>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</si>
  <si>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</si>
  <si>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</si>
  <si>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</si>
  <si>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</si>
  <si>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</si>
  <si>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</si>
  <si>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</si>
  <si>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</si>
  <si>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</si>
  <si>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</si>
  <si>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</si>
  <si>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</si>
  <si>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</si>
  <si>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</si>
  <si>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</si>
  <si>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</si>
  <si>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</si>
  <si>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</si>
  <si>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</si>
  <si>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</si>
  <si>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</si>
  <si>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</si>
  <si>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</si>
  <si>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</si>
  <si>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</si>
  <si>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</si>
  <si>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</si>
  <si>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</si>
  <si>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</si>
  <si>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</si>
  <si>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</si>
  <si>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</si>
  <si>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</si>
  <si>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</si>
  <si>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</si>
  <si>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</si>
  <si>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</si>
  <si>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</si>
  <si>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</si>
  <si>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</si>
  <si>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</si>
  <si>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</si>
  <si>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</si>
  <si>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</si>
  <si>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</si>
  <si>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</si>
  <si>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</si>
  <si>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</si>
  <si>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</si>
  <si>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</si>
  <si>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</si>
  <si>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</si>
  <si>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</si>
  <si>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</si>
  <si>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</si>
  <si>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</si>
  <si>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</si>
  <si>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</si>
  <si>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</si>
  <si>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</si>
  <si>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</si>
  <si>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</si>
  <si>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</si>
  <si>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</si>
  <si>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</si>
  <si>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</si>
  <si>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</si>
  <si>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</si>
  <si>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</si>
  <si>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</si>
  <si>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</si>
  <si>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</si>
  <si>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</si>
  <si>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</si>
  <si>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</si>
  <si>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</si>
  <si>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</si>
  <si>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</si>
  <si>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</si>
  <si>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</si>
  <si>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</si>
  <si>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</si>
  <si>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</si>
  <si>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</si>
  <si>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</si>
  <si>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</si>
  <si>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</si>
  <si>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</si>
  <si>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</si>
  <si>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</si>
  <si>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</si>
  <si>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</si>
  <si>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</si>
  <si>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</si>
  <si>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</si>
  <si>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</si>
  <si>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</si>
  <si>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</si>
  <si>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</si>
  <si>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</si>
  <si>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</si>
  <si>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</si>
  <si>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</si>
  <si>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</si>
  <si>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</si>
  <si>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</si>
  <si>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</si>
  <si>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</si>
  <si>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</si>
  <si>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</si>
  <si>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</si>
  <si>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</si>
  <si>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</si>
  <si>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</si>
  <si>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</si>
  <si>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</si>
  <si>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</si>
  <si>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</si>
  <si>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</si>
  <si>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</si>
  <si>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</si>
  <si>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</si>
  <si>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</si>
  <si>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</si>
  <si>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</si>
  <si>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</si>
  <si>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</si>
  <si>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</si>
  <si>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</si>
  <si>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</si>
  <si>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</si>
  <si>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</si>
  <si>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</si>
  <si>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</si>
  <si>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</si>
  <si>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</si>
  <si>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</si>
  <si>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</si>
  <si>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</si>
  <si>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</si>
  <si>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</si>
  <si>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</si>
  <si>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</si>
  <si>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</si>
  <si>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</si>
  <si>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</si>
  <si>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</si>
  <si>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</si>
  <si>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</si>
  <si>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</si>
  <si>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</si>
  <si>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</si>
  <si>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</si>
  <si>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</si>
  <si>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</si>
  <si>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</si>
  <si>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</si>
  <si>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</si>
  <si>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</si>
  <si>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</si>
  <si>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</si>
  <si>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</si>
  <si>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</si>
  <si>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</si>
  <si>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</si>
  <si>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</si>
  <si>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</si>
  <si>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</si>
  <si>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</si>
  <si>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</si>
  <si>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</si>
  <si>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</si>
  <si>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</si>
  <si>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</si>
  <si>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</si>
  <si>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</si>
  <si>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</si>
  <si>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</si>
  <si>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</si>
  <si>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</si>
  <si>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</si>
  <si>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</si>
  <si>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</si>
  <si>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</si>
  <si>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</si>
  <si>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</si>
  <si>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</si>
  <si>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</si>
  <si>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</si>
  <si>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</si>
  <si>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</si>
  <si>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</si>
  <si>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</si>
  <si>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</si>
  <si>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</si>
  <si>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</si>
  <si>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</si>
  <si>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</si>
  <si>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</si>
  <si>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</si>
  <si>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</si>
  <si>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</si>
  <si>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</si>
  <si>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</si>
  <si>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</si>
  <si>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</si>
  <si>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</si>
  <si>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</si>
  <si>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</si>
  <si>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</si>
  <si>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</si>
  <si>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</si>
  <si>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</si>
  <si>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</si>
  <si>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</si>
  <si>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</si>
  <si>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</si>
  <si>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</si>
  <si>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</si>
  <si>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</si>
  <si>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</si>
  <si>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</si>
  <si>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</si>
  <si>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</si>
  <si>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</si>
  <si>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</si>
  <si>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</si>
  <si>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</si>
  <si>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</si>
  <si>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</si>
  <si>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</si>
  <si>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</si>
  <si>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</si>
  <si>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</si>
  <si>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</si>
  <si>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</si>
  <si>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</si>
  <si>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</si>
  <si>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</si>
  <si>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</si>
  <si>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</si>
  <si>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</si>
  <si>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</si>
  <si>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</si>
  <si>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</si>
  <si>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</si>
  <si>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</si>
  <si>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</si>
  <si>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</si>
  <si>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</si>
  <si>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</si>
  <si>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</si>
  <si>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</si>
  <si>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</si>
  <si>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</si>
  <si>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</si>
  <si>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</si>
  <si>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</si>
  <si>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</si>
  <si>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</si>
  <si>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</si>
  <si>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</si>
  <si>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</si>
  <si>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</si>
  <si>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</si>
  <si>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</si>
  <si>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</si>
  <si>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</si>
  <si>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</si>
  <si>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</si>
  <si>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</si>
  <si>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</si>
  <si>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</si>
  <si>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</si>
  <si>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</si>
  <si>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</si>
  <si>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</si>
  <si>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</si>
  <si>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</si>
  <si>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</si>
  <si>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</si>
  <si>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</si>
  <si>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</si>
  <si>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</si>
  <si>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</si>
  <si>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</si>
  <si>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</si>
  <si>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</si>
  <si>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</si>
  <si>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</si>
  <si>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</si>
  <si>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</si>
  <si>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</si>
  <si>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</si>
  <si>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</si>
  <si>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</si>
  <si>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</si>
  <si>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</si>
  <si>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</si>
  <si>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</si>
  <si>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</si>
  <si>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</si>
  <si>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</si>
  <si>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</si>
  <si>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</si>
  <si>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</si>
  <si>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</si>
  <si>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</si>
  <si>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</si>
  <si>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</si>
  <si>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</si>
  <si>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</si>
  <si>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</si>
  <si>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</si>
  <si>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</si>
  <si>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</si>
  <si>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</si>
  <si>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</si>
  <si>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</si>
  <si>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</si>
  <si>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</si>
  <si>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</si>
  <si>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</si>
  <si>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</si>
  <si>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</si>
  <si>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</si>
  <si>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</si>
  <si>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</si>
  <si>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</si>
  <si>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</si>
  <si>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</si>
  <si>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</si>
  <si>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</si>
  <si>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</si>
  <si>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</si>
  <si>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</si>
  <si>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</si>
  <si>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</si>
  <si>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</si>
  <si>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</si>
  <si>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</si>
  <si>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</si>
  <si>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</si>
  <si>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</si>
  <si>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</si>
  <si>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</si>
  <si>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</si>
  <si>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</si>
  <si>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</si>
  <si>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</si>
  <si>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</si>
  <si>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</si>
  <si>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</si>
  <si>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</si>
  <si>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</si>
  <si>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</si>
  <si>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</si>
  <si>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</si>
  <si>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</si>
  <si>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</si>
  <si>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</si>
  <si>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</si>
  <si>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</si>
  <si>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</si>
  <si>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</si>
  <si>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</si>
  <si>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</si>
  <si>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</si>
  <si>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</si>
  <si>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</si>
  <si>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</si>
  <si>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</si>
  <si>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</si>
  <si>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</si>
  <si>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</si>
  <si>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</si>
  <si>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</si>
  <si>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</si>
  <si>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</si>
  <si>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</si>
  <si>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</si>
  <si>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</si>
  <si>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</si>
  <si>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</si>
  <si>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</si>
  <si>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</si>
  <si>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</si>
  <si>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</si>
  <si>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</si>
  <si>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</si>
  <si>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</si>
  <si>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</si>
  <si>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</si>
  <si>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</si>
  <si>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</si>
  <si>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</si>
  <si>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</si>
  <si>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</si>
  <si>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</si>
  <si>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</si>
  <si>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</si>
  <si>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</si>
  <si>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</si>
  <si>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</si>
  <si>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</si>
  <si>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</si>
  <si>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</si>
  <si>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</si>
  <si>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</si>
  <si>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</si>
  <si>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</si>
  <si>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</si>
  <si>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</si>
  <si>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</si>
  <si>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</si>
  <si>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</si>
  <si>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</si>
  <si>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</si>
  <si>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</si>
  <si>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</si>
  <si>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</si>
  <si>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</si>
  <si>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</si>
  <si>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</si>
  <si>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</si>
  <si>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</si>
  <si>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</si>
  <si>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</si>
  <si>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</si>
  <si>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</si>
  <si>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</si>
  <si>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</si>
  <si>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</si>
  <si>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</si>
  <si>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</si>
  <si>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</si>
  <si>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</si>
  <si>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</si>
  <si>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</si>
  <si>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</si>
  <si>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</si>
  <si>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</si>
  <si>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</si>
  <si>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</si>
  <si>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</si>
  <si>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</si>
  <si>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</si>
  <si>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</si>
  <si>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</si>
  <si>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</si>
  <si>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</si>
  <si>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</si>
  <si>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</si>
  <si>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</si>
  <si>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</si>
  <si>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</si>
  <si>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</si>
  <si>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</si>
  <si>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</si>
  <si>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</si>
  <si>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</si>
  <si>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</si>
  <si>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</si>
  <si>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</si>
  <si>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</si>
  <si>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</si>
  <si>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</si>
  <si>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</si>
  <si>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</si>
  <si>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</si>
  <si>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</si>
  <si>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</si>
  <si>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</si>
  <si>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</si>
  <si>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</si>
  <si>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</si>
  <si>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</si>
  <si>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</si>
  <si>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</si>
  <si>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</si>
  <si>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</si>
  <si>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</si>
  <si>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</si>
  <si>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</si>
  <si>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</si>
  <si>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</si>
  <si>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</si>
  <si>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</si>
  <si>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</si>
  <si>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</si>
  <si>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</si>
  <si>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</si>
  <si>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</si>
  <si>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</si>
  <si>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</si>
  <si>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</si>
  <si>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</si>
  <si>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</si>
  <si>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</si>
  <si>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</si>
  <si>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</si>
  <si>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</si>
  <si>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</si>
  <si>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</si>
  <si>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</si>
  <si>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</si>
  <si>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</si>
  <si>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</si>
  <si>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</si>
  <si>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</si>
  <si>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</si>
  <si>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</si>
  <si>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</si>
  <si>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</si>
  <si>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</si>
  <si>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</si>
  <si>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</si>
  <si>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</si>
  <si>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</si>
  <si>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</si>
  <si>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</si>
  <si>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</si>
  <si>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</si>
  <si>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</si>
  <si>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</si>
  <si>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</si>
  <si>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</si>
  <si>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</si>
  <si>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</si>
  <si>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</si>
  <si>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</si>
  <si>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</si>
  <si>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</si>
  <si>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</si>
  <si>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</si>
  <si>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</si>
  <si>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</si>
  <si>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</si>
  <si>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</si>
  <si>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</si>
  <si>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</si>
  <si>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</si>
  <si>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</si>
  <si>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</si>
  <si>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</si>
  <si>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</si>
  <si>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</si>
  <si>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</si>
  <si>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</si>
  <si>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</si>
  <si>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</si>
  <si>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</si>
  <si>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</si>
  <si>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</si>
  <si>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</si>
  <si>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</si>
  <si>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</si>
  <si>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</si>
  <si>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</si>
  <si>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</si>
  <si>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</si>
  <si>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</si>
  <si>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</si>
  <si>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</si>
  <si>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</si>
  <si>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</si>
  <si>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</si>
  <si>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</si>
  <si>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</si>
  <si>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</si>
  <si>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</si>
  <si>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</si>
  <si>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</si>
  <si>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</si>
  <si>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</si>
  <si>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</si>
  <si>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</si>
  <si>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</si>
  <si>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</si>
  <si>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</si>
  <si>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</si>
  <si>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</si>
  <si>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</si>
  <si>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</si>
  <si>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</si>
  <si>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</si>
  <si>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</si>
  <si>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</si>
  <si>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</si>
  <si>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</si>
  <si>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</si>
  <si>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</si>
  <si>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</si>
  <si>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</si>
  <si>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</si>
  <si>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</si>
  <si>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</si>
  <si>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</si>
  <si>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</si>
  <si>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</si>
  <si>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</si>
  <si>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</si>
  <si>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</si>
  <si>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</si>
  <si>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</si>
  <si>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</si>
  <si>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</si>
  <si>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</si>
  <si>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</si>
  <si>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</si>
  <si>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</si>
  <si>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</si>
  <si>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</si>
  <si>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</si>
  <si>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</si>
  <si>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</si>
  <si>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</si>
  <si>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</si>
  <si>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</si>
  <si>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</si>
  <si>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</si>
  <si>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</si>
  <si>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</si>
  <si>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</si>
  <si>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</si>
  <si>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</si>
  <si>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</si>
  <si>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</si>
  <si>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</si>
  <si>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</si>
  <si>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</si>
  <si>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</si>
  <si>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</si>
  <si>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</si>
  <si>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</si>
  <si>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</si>
  <si>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</si>
  <si>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</si>
  <si>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</si>
  <si>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</si>
  <si>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</si>
  <si>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</si>
  <si>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</si>
  <si>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</si>
  <si>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</si>
  <si>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</si>
  <si>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</si>
  <si>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</si>
  <si>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</si>
  <si>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</si>
  <si>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</si>
  <si>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</si>
  <si>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</si>
  <si>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</si>
  <si>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</si>
  <si>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</si>
  <si>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</si>
  <si>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</si>
  <si>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</si>
  <si>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</si>
  <si>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</si>
  <si>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</si>
  <si>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</si>
  <si>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</si>
  <si>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</si>
  <si>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</si>
  <si>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</si>
  <si>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</si>
  <si>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</si>
  <si>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</si>
  <si>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</si>
  <si>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</si>
  <si>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</si>
  <si>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</si>
  <si>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</si>
  <si>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</si>
  <si>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</si>
  <si>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</si>
  <si>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</si>
  <si>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</si>
  <si>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</si>
  <si>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</si>
  <si>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</si>
  <si>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</si>
  <si>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</si>
  <si>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</si>
  <si>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</si>
  <si>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</si>
  <si>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</si>
  <si>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</si>
  <si>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</si>
  <si>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</si>
  <si>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</si>
  <si>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</si>
  <si>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</si>
  <si>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</si>
  <si>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</si>
  <si>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</si>
  <si>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</si>
  <si>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</si>
  <si>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</si>
  <si>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</si>
  <si>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</si>
  <si>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</si>
  <si>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</si>
  <si>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</si>
  <si>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</si>
  <si>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</si>
  <si>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</si>
  <si>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</si>
  <si>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</si>
  <si>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</si>
  <si>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</si>
  <si>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</si>
  <si>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</si>
  <si>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</si>
  <si>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</si>
  <si>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</si>
  <si>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</si>
  <si>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</si>
  <si>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</si>
  <si>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</si>
  <si>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</si>
  <si>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</si>
  <si>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</si>
  <si>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</si>
  <si>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</si>
  <si>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</si>
  <si>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</si>
  <si>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</si>
  <si>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</si>
  <si>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</si>
  <si>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</si>
  <si>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</si>
  <si>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</si>
  <si>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</si>
  <si>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</si>
  <si>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</si>
  <si>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</si>
  <si>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</si>
  <si>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</si>
  <si>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</si>
  <si>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</si>
  <si>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</si>
  <si>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</si>
  <si>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</si>
  <si>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</si>
  <si>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</si>
  <si>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</si>
  <si>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</si>
  <si>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</si>
  <si>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</si>
  <si>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</si>
  <si>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</si>
  <si>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</si>
  <si>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</si>
  <si>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</si>
  <si>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</si>
  <si>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</si>
  <si>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</si>
  <si>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</si>
  <si>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</si>
  <si>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</si>
  <si>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</si>
  <si>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</si>
  <si>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</si>
  <si>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</si>
  <si>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</si>
  <si>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</si>
  <si>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</si>
  <si>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</si>
  <si>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</si>
  <si>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</si>
  <si>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</si>
  <si>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</si>
  <si>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</si>
  <si>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</si>
  <si>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</si>
  <si>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</si>
  <si>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</si>
  <si>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</si>
  <si>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</si>
  <si>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</si>
  <si>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</si>
  <si>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</si>
  <si>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</si>
  <si>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</si>
  <si>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</si>
  <si>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</si>
  <si>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</si>
  <si>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</si>
  <si>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</si>
  <si>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</si>
  <si>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</si>
  <si>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</si>
  <si>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</si>
  <si>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</si>
  <si>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</si>
  <si>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</si>
  <si>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</si>
  <si>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</si>
  <si>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</si>
  <si>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</si>
  <si>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</si>
  <si>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</si>
  <si>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</si>
  <si>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</si>
  <si>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</si>
  <si>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</si>
  <si>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</si>
  <si>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</si>
  <si>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</si>
  <si>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</si>
  <si>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</si>
  <si>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</si>
  <si>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</si>
  <si>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</si>
  <si>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</si>
  <si>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</si>
  <si>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</si>
  <si>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</si>
  <si>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</si>
  <si>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</si>
  <si>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</si>
  <si>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</si>
  <si>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</si>
  <si>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</si>
  <si>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</si>
  <si>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</si>
  <si>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</si>
  <si>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</si>
  <si>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</si>
  <si>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</si>
  <si>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</si>
  <si>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</si>
  <si>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</si>
  <si>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</si>
  <si>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</si>
  <si>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</si>
  <si>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</si>
  <si>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</si>
  <si>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</si>
  <si>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</si>
  <si>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</si>
  <si>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</si>
  <si>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</si>
  <si>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</si>
  <si>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</si>
  <si>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</si>
  <si>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</si>
  <si>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</si>
  <si>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</si>
  <si>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</si>
  <si>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</si>
  <si>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</si>
  <si>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</si>
  <si>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</si>
  <si>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</si>
  <si>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</si>
  <si>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</si>
  <si>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</si>
  <si>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</si>
  <si>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</si>
  <si>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</si>
  <si>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</si>
  <si>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</si>
  <si>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</si>
  <si>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</si>
  <si>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</si>
  <si>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</si>
  <si>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</si>
  <si>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</si>
  <si>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</si>
  <si>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</si>
  <si>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</si>
  <si>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</si>
  <si>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</si>
  <si>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</si>
  <si>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</si>
  <si>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</si>
  <si>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</si>
  <si>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</si>
  <si>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</si>
  <si>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</si>
  <si>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</si>
  <si>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</si>
  <si>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</si>
  <si>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</si>
  <si>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</si>
  <si>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</si>
  <si>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</si>
  <si>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</si>
  <si>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</si>
  <si>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</si>
  <si>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</si>
  <si>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</si>
  <si>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</si>
  <si>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</si>
  <si>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</si>
  <si>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</si>
  <si>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</si>
  <si>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</si>
  <si>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</si>
  <si>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</si>
  <si>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</si>
  <si>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</si>
  <si>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</si>
  <si>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</si>
  <si>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</si>
  <si>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</si>
  <si>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</si>
  <si>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</si>
  <si>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</si>
  <si>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</si>
  <si>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</si>
  <si>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</si>
  <si>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</si>
  <si>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</si>
  <si>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</si>
  <si>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</si>
  <si>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</si>
  <si>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</si>
  <si>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</si>
  <si>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</si>
  <si>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</si>
  <si>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</si>
  <si>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</si>
  <si>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</si>
  <si>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</si>
  <si>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</si>
  <si>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</si>
  <si>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</si>
  <si>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</si>
  <si>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</si>
  <si>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</si>
  <si>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</si>
  <si>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</si>
  <si>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</si>
  <si>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</si>
  <si>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</si>
  <si>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</si>
  <si>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</si>
  <si>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</si>
  <si>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</si>
  <si>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</si>
  <si>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</si>
  <si>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</si>
  <si>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</si>
  <si>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</si>
  <si>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</si>
  <si>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</si>
  <si>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</si>
  <si>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</si>
  <si>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</si>
  <si>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</si>
  <si>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</si>
  <si>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</si>
  <si>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</si>
  <si>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</si>
  <si>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</si>
  <si>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</si>
  <si>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</si>
  <si>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</si>
  <si>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</si>
  <si>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</si>
  <si>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</si>
  <si>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</si>
  <si>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</si>
  <si>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</si>
  <si>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</si>
  <si>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</si>
  <si>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</si>
  <si>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</si>
  <si>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</si>
  <si>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</si>
  <si>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</si>
  <si>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</si>
  <si>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</si>
  <si>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</si>
  <si>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</si>
  <si>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</si>
  <si>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</si>
  <si>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</si>
  <si>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</si>
  <si>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</si>
  <si>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</si>
  <si>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</si>
  <si>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</si>
  <si>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</si>
  <si>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</si>
  <si>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</si>
  <si>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</si>
  <si>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</si>
  <si>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</si>
  <si>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</si>
  <si>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</si>
  <si>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</si>
  <si>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</si>
  <si>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</si>
  <si>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</si>
  <si>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</si>
  <si>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</si>
  <si>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</si>
  <si>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</si>
  <si>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</si>
  <si>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</si>
  <si>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</si>
  <si>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</si>
  <si>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</si>
  <si>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</si>
  <si>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</si>
  <si>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</si>
  <si>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</si>
  <si>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</si>
  <si>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</si>
  <si>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</si>
  <si>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</si>
  <si>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</si>
  <si>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</si>
  <si>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</si>
  <si>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</si>
  <si>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</si>
  <si>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</si>
  <si>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</si>
  <si>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</si>
  <si>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</si>
  <si>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</si>
  <si>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</si>
  <si>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</si>
  <si>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</si>
  <si>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</si>
  <si>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</si>
  <si>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</si>
  <si>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</si>
  <si>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</si>
  <si>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</si>
  <si>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</si>
  <si>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</si>
  <si>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</si>
  <si>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</si>
  <si>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</si>
  <si>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</si>
  <si>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</si>
  <si>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</si>
  <si>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</si>
  <si>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</si>
  <si>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</si>
  <si>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</si>
  <si>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</si>
  <si>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</si>
  <si>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</si>
  <si>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</si>
  <si>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</si>
  <si>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</si>
  <si>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</si>
  <si>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</si>
  <si>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</si>
  <si>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</si>
  <si>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</si>
  <si>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</si>
  <si>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</si>
  <si>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</si>
  <si>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</si>
  <si>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</si>
  <si>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</si>
  <si>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</si>
  <si>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</si>
  <si>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</si>
  <si>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</si>
  <si>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</si>
  <si>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</si>
  <si>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</si>
  <si>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</si>
  <si>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</si>
  <si>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</si>
  <si>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</si>
  <si>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</si>
  <si>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</si>
  <si>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</si>
  <si>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</si>
  <si>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</si>
  <si>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</si>
  <si>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</si>
  <si>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</si>
  <si>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</si>
  <si>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</si>
  <si>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</si>
  <si>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</si>
  <si>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</si>
  <si>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</si>
  <si>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</si>
  <si>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</si>
  <si>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</si>
  <si>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</si>
  <si>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</si>
  <si>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</si>
  <si>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</si>
  <si>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</si>
  <si>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</si>
  <si>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</si>
  <si>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</si>
  <si>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</si>
  <si>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</si>
  <si>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</si>
  <si>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</si>
  <si>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</si>
  <si>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</si>
  <si>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</si>
  <si>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</si>
  <si>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</si>
  <si>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</si>
  <si>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</si>
  <si>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</si>
  <si>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</si>
  <si>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</si>
  <si>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</si>
  <si>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</si>
  <si>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</si>
  <si>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</si>
  <si>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</si>
  <si>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</si>
  <si>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</si>
  <si>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</si>
  <si>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</si>
  <si>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</si>
  <si>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</si>
  <si>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</si>
  <si>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</si>
  <si>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</si>
  <si>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</si>
  <si>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</si>
  <si>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</si>
  <si>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</si>
  <si>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</si>
  <si>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</si>
  <si>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</si>
  <si>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</si>
  <si>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</si>
  <si>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</si>
  <si>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</si>
  <si>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</si>
  <si>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</si>
  <si>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</si>
  <si>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</si>
  <si>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</si>
  <si>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</si>
  <si>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</si>
  <si>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</si>
  <si>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</si>
  <si>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</si>
  <si>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</si>
  <si>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</si>
  <si>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</si>
  <si>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</si>
  <si>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</si>
  <si>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</si>
  <si>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</si>
  <si>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</si>
  <si>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</si>
  <si>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</si>
  <si>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</si>
  <si>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</si>
  <si>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</si>
  <si>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</si>
  <si>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</si>
  <si>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</si>
  <si>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</si>
  <si>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</si>
  <si>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</si>
  <si>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</si>
  <si>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</si>
  <si>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</si>
  <si>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</si>
  <si>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</si>
  <si>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</si>
  <si>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</si>
  <si>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</si>
  <si>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</si>
  <si>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</si>
  <si>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</si>
  <si>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</si>
  <si>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</si>
  <si>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</si>
  <si>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</si>
  <si>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</si>
  <si>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</si>
  <si>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</si>
  <si>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</si>
  <si>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</si>
  <si>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</si>
  <si>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</si>
  <si>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</si>
  <si>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</si>
  <si>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</si>
  <si>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</si>
  <si>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</si>
  <si>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</si>
  <si>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</si>
  <si>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</si>
  <si>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</si>
  <si>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</si>
  <si>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</si>
  <si>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</si>
  <si>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</si>
  <si>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</si>
  <si>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</si>
  <si>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</si>
  <si>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</si>
  <si>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</si>
  <si>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</si>
  <si>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</si>
  <si>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</si>
  <si>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</si>
  <si>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</si>
  <si>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</si>
  <si>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</si>
  <si>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</si>
  <si>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</si>
  <si>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</si>
  <si>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</si>
  <si>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</si>
  <si>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</si>
  <si>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</si>
  <si>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</si>
  <si>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</si>
  <si>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</si>
  <si>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</si>
  <si>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</si>
  <si>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</si>
  <si>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</si>
  <si>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</si>
  <si>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</si>
  <si>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</si>
  <si>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</si>
  <si>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</si>
  <si>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</si>
  <si>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</si>
  <si>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</si>
  <si>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</si>
  <si>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</si>
  <si>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</si>
  <si>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</si>
  <si>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</si>
  <si>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</si>
  <si>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</si>
  <si>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</si>
  <si>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</si>
  <si>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</si>
  <si>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</si>
  <si>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</si>
  <si>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</si>
  <si>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</si>
  <si>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</si>
  <si>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</si>
  <si>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</si>
  <si>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</si>
  <si>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</si>
  <si>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</si>
  <si>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</si>
  <si>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</si>
  <si>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</si>
  <si>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</si>
  <si>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</si>
  <si>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</si>
  <si>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</si>
  <si>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</si>
  <si>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</si>
  <si>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</si>
  <si>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</si>
  <si>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</si>
  <si>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</si>
  <si>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</si>
  <si>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</si>
  <si>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</si>
  <si>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</si>
  <si>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</si>
  <si>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</si>
  <si>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</si>
  <si>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</si>
  <si>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</si>
  <si>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</si>
  <si>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</si>
  <si>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</si>
  <si>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</si>
  <si>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</si>
  <si>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</si>
  <si>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</si>
  <si>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</si>
  <si>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</si>
  <si>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</si>
  <si>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</si>
  <si>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</si>
  <si>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</si>
  <si>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</si>
  <si>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</si>
  <si>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</si>
  <si>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</si>
  <si>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</si>
  <si>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</si>
  <si>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</si>
  <si>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</si>
  <si>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</si>
  <si>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</si>
  <si>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</si>
  <si>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</si>
  <si>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</si>
  <si>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</si>
  <si>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</si>
  <si>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</si>
  <si>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</si>
  <si>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</si>
  <si>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</si>
  <si>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</si>
  <si>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</si>
  <si>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</si>
  <si>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</si>
  <si>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</si>
  <si>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</si>
  <si>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</si>
  <si>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</si>
  <si>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</si>
  <si>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</si>
  <si>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</si>
  <si>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</si>
  <si>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</si>
  <si>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</si>
  <si>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</si>
  <si>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</si>
  <si>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</si>
  <si>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</si>
  <si>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</si>
  <si>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</si>
  <si>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</si>
  <si>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</si>
  <si>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</si>
  <si>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</si>
  <si>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</si>
  <si>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</si>
  <si>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</si>
  <si>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</si>
  <si>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</si>
  <si>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</si>
  <si>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</si>
  <si>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</si>
  <si>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</si>
  <si>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</si>
  <si>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</si>
  <si>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</si>
  <si>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</si>
  <si>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</si>
  <si>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</si>
  <si>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</si>
  <si>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</si>
  <si>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</si>
  <si>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</si>
  <si>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</si>
  <si>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</si>
  <si>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</si>
  <si>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</si>
  <si>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</si>
  <si>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</si>
  <si>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</si>
  <si>
    <t>Economic development tourism</t>
  </si>
  <si>
    <t>Capital Provincial KZN Treausry</t>
  </si>
  <si>
    <t xml:space="preserve">Housing  </t>
  </si>
  <si>
    <t xml:space="preserve"> </t>
  </si>
  <si>
    <t>Rental lower than intially budgeted, hence interest is lower</t>
  </si>
  <si>
    <t>To be adjusted downwards during the adjustment budget</t>
  </si>
  <si>
    <t>Investments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</si>
  <si>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</si>
  <si>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</si>
  <si>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</si>
  <si>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</si>
  <si>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</si>
  <si>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entries for Depreciation have been processed. This is done at year end.</t>
  </si>
  <si>
    <t>Materail purchases are done in bulk and then gets charged to departments as and when they need it.</t>
  </si>
  <si>
    <t>No remedial action is required</t>
  </si>
  <si>
    <t>This will self correct during the year</t>
  </si>
  <si>
    <t>Various reasons have been put forward, capex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</si>
</sst>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495946622.13999999</c:v>
                </c:pt>
                <c:pt idx="1">
                  <c:v>138844660.98000002</c:v>
                </c:pt>
                <c:pt idx="2">
                  <c:v>102730469.05999999</c:v>
                </c:pt>
                <c:pt idx="3">
                  <c:v>93457799.460000008</c:v>
                </c:pt>
                <c:pt idx="4">
                  <c:v>96779128.520000011</c:v>
                </c:pt>
                <c:pt idx="5">
                  <c:v>89322560.310000002</c:v>
                </c:pt>
                <c:pt idx="6">
                  <c:v>536820878.9000001</c:v>
                </c:pt>
                <c:pt idx="7">
                  <c:v>3223225385.1199999</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-4325301.0500000007</c:v>
                </c:pt>
                <c:pt idx="2">
                  <c:v>117682805.63</c:v>
                </c:pt>
                <c:pt idx="3">
                  <c:v>101021025.72999999</c:v>
                </c:pt>
                <c:pt idx="4">
                  <c:v>97617113.170000002</c:v>
                </c:pt>
                <c:pt idx="5">
                  <c:v>89416119.01000002</c:v>
                </c:pt>
                <c:pt idx="6">
                  <c:v>534223289.34000009</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231349158.98169997</c:v>
                </c:pt>
                <c:pt idx="1">
                  <c:v>731018863.17030001</c:v>
                </c:pt>
                <c:pt idx="2">
                  <c:v>3461194444.1402998</c:v>
                </c:pt>
                <c:pt idx="3">
                  <c:v>210251213.06299996</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238504287.60999998</c:v>
                </c:pt>
                <c:pt idx="1">
                  <c:v>753627693.99000001</c:v>
                </c:pt>
                <c:pt idx="2">
                  <c:v>3568241694.9899998</c:v>
                </c:pt>
                <c:pt idx="3">
                  <c:v>216753827.89999998</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383516063</c:v>
                </c:pt>
                <c:pt idx="1">
                  <c:v>199793607.5</c:v>
                </c:pt>
                <c:pt idx="2">
                  <c:v>0</c:v>
                </c:pt>
                <c:pt idx="3">
                  <c:v>177794476.59999999</c:v>
                </c:pt>
                <c:pt idx="4">
                  <c:v>0</c:v>
                </c:pt>
                <c:pt idx="5">
                  <c:v>0</c:v>
                </c:pt>
                <c:pt idx="6">
                  <c:v>139124965.30000001</c:v>
                </c:pt>
                <c:pt idx="7">
                  <c:v>444019.49</c:v>
                </c:pt>
                <c:pt idx="8">
                  <c:v>488555913.69999999</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297700406.35999995</c:v>
                </c:pt>
                <c:pt idx="1">
                  <c:v>351888433.12</c:v>
                </c:pt>
                <c:pt idx="2">
                  <c:v>0</c:v>
                </c:pt>
                <c:pt idx="3">
                  <c:v>212967458.86000004</c:v>
                </c:pt>
                <c:pt idx="4">
                  <c:v>0</c:v>
                </c:pt>
                <c:pt idx="5">
                  <c:v>0</c:v>
                </c:pt>
                <c:pt idx="6">
                  <c:v>182954700.5</c:v>
                </c:pt>
                <c:pt idx="7">
                  <c:v>242154.47</c:v>
                </c:pt>
                <c:pt idx="8">
                  <c:v>610750761.25999987</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35188377.060000002</c:v>
                </c:pt>
                <c:pt idx="8">
                  <c:v>30125543.949999999</c:v>
                </c:pt>
                <c:pt idx="9">
                  <c:v>69137296.340000004</c:v>
                </c:pt>
                <c:pt idx="10">
                  <c:v>35226258.649999999</c:v>
                </c:pt>
                <c:pt idx="11">
                  <c:v>265762096.38999999</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285834127.19</c:v>
                </c:pt>
                <c:pt idx="8">
                  <c:v>315959671.13999999</c:v>
                </c:pt>
                <c:pt idx="9">
                  <c:v>385096967.48000002</c:v>
                </c:pt>
                <c:pt idx="10">
                  <c:v>420323226.13</c:v>
                </c:pt>
                <c:pt idx="11">
                  <c:v>686085322.51999998</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6" val="1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73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7" t="str">
        <f>muni&amp; " - "&amp;S71C&amp; " - "&amp;date</f>
        <v>KZN225 Msunduzi - Table C3 Consolidated Monthly Budget Statement - Financial Performance (revenue and expenditure by municipal vote)  - Q4 Fourth Quarter</v>
      </c>
      <c r="B1" s="1047"/>
      <c r="C1" s="1047"/>
      <c r="D1" s="1047"/>
      <c r="E1" s="1047"/>
      <c r="F1" s="1047"/>
      <c r="G1" s="1047"/>
      <c r="H1" s="1047"/>
      <c r="I1" s="1047"/>
      <c r="J1" s="1047"/>
      <c r="K1" s="1047"/>
    </row>
    <row r="2" spans="1:24" x14ac:dyDescent="0.25">
      <c r="A2" s="20" t="str">
        <f>Vdesc</f>
        <v>Vote Description</v>
      </c>
      <c r="B2" s="1038" t="str">
        <f>head27</f>
        <v>Ref</v>
      </c>
      <c r="C2" s="142" t="str">
        <f>Head1</f>
        <v>2019/20</v>
      </c>
      <c r="D2" s="1040" t="str">
        <f>Head2</f>
        <v>Budget Year 2020/21</v>
      </c>
      <c r="E2" s="1041"/>
      <c r="F2" s="1041"/>
      <c r="G2" s="1041"/>
      <c r="H2" s="1041"/>
      <c r="I2" s="1041"/>
      <c r="J2" s="1041"/>
      <c r="K2" s="1042"/>
    </row>
    <row r="3" spans="1:24" ht="25.5" x14ac:dyDescent="0.25">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0"/>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325.93999999998891</v>
      </c>
      <c r="D6" s="46">
        <f>'C3C'!D6</f>
        <v>4447530.0133999996</v>
      </c>
      <c r="E6" s="44">
        <f>'C3C'!E6</f>
        <v>4447530.0133999996</v>
      </c>
      <c r="F6" s="44">
        <f>'C3C'!F6</f>
        <v>0</v>
      </c>
      <c r="G6" s="44">
        <f>'C3C'!G6</f>
        <v>297000</v>
      </c>
      <c r="H6" s="44">
        <f>'C3C'!H6</f>
        <v>4447530.0133999996</v>
      </c>
      <c r="I6" s="44">
        <f>G6-H6</f>
        <v>-4150530.0133999996</v>
      </c>
      <c r="J6" s="715">
        <f>IF(I6=0,"",I6/H6)</f>
        <v>-0.93322136127127497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1641040016.2699997</v>
      </c>
      <c r="D7" s="46">
        <f>'C3C'!D17</f>
        <v>2396133945.7871332</v>
      </c>
      <c r="E7" s="44">
        <f>'C3C'!E17</f>
        <v>2485131945.7871332</v>
      </c>
      <c r="F7" s="44">
        <f>'C3C'!F17</f>
        <v>117476349.13</v>
      </c>
      <c r="G7" s="44">
        <f>'C3C'!G17</f>
        <v>1677668165.2799997</v>
      </c>
      <c r="H7" s="44">
        <f>'C3C'!H17</f>
        <v>2485131945.7871332</v>
      </c>
      <c r="I7" s="44">
        <f t="shared" ref="I7:I20" si="0">G7-H7</f>
        <v>-807463780.50713348</v>
      </c>
      <c r="J7" s="715">
        <f t="shared" ref="J7:J21" si="1">IF(I7=0,"",I7/H7)</f>
        <v>-0.32491787081002649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200023446.69999999</v>
      </c>
      <c r="D8" s="46">
        <f>'C3C'!D28</f>
        <v>214664344.29579172</v>
      </c>
      <c r="E8" s="44">
        <f>'C3C'!E28</f>
        <v>214664344.29579172</v>
      </c>
      <c r="F8" s="44">
        <f>'C3C'!F28</f>
        <v>9722579.9399999995</v>
      </c>
      <c r="G8" s="44">
        <f>'C3C'!G28</f>
        <v>198045302.54000002</v>
      </c>
      <c r="H8" s="44">
        <f>'C3C'!H28</f>
        <v>214664344.29579172</v>
      </c>
      <c r="I8" s="44">
        <f t="shared" si="0"/>
        <v>-16619041.755791694</v>
      </c>
      <c r="J8" s="715">
        <f t="shared" si="1"/>
        <v>-7.741873393231935E-2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10720708.949999999</v>
      </c>
      <c r="D9" s="46">
        <f>'C3C'!D39</f>
        <v>19239180.686499998</v>
      </c>
      <c r="E9" s="44">
        <f>'C3C'!E39</f>
        <v>19239180.686499998</v>
      </c>
      <c r="F9" s="44">
        <f>'C3C'!F39</f>
        <v>242377.49</v>
      </c>
      <c r="G9" s="44">
        <f>'C3C'!G39</f>
        <v>5881700.4299999997</v>
      </c>
      <c r="H9" s="44">
        <f>'C3C'!H39</f>
        <v>19239180.686499998</v>
      </c>
      <c r="I9" s="44">
        <f t="shared" si="0"/>
        <v>-13357480.256499998</v>
      </c>
      <c r="J9" s="715">
        <f t="shared" si="1"/>
        <v>-0.69428529593637278</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3770506292.9300003</v>
      </c>
      <c r="D10" s="46">
        <f>'C3C'!D50</f>
        <v>3376346372.7014918</v>
      </c>
      <c r="E10" s="44">
        <f>'C3C'!E50</f>
        <v>3376346372.7014918</v>
      </c>
      <c r="F10" s="44">
        <f>'C3C'!F50</f>
        <v>329528421.24000001</v>
      </c>
      <c r="G10" s="44">
        <f>'C3C'!G50</f>
        <v>4037780906.6399999</v>
      </c>
      <c r="H10" s="44">
        <f>'C3C'!H50</f>
        <v>3376346372.7014918</v>
      </c>
      <c r="I10" s="44">
        <f t="shared" si="0"/>
        <v>661434533.93850803</v>
      </c>
      <c r="J10" s="715">
        <f t="shared" si="1"/>
        <v>0.19590245221472322</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167753159.20999998</v>
      </c>
      <c r="D11" s="46">
        <f>'C3C'!D61</f>
        <v>432870465.38774735</v>
      </c>
      <c r="E11" s="44">
        <f>'C3C'!E61</f>
        <v>495093158.38774735</v>
      </c>
      <c r="F11" s="44">
        <f>'C3C'!F61</f>
        <v>130586205.03</v>
      </c>
      <c r="G11" s="44">
        <f>'C3C'!G61</f>
        <v>240811261.56999999</v>
      </c>
      <c r="H11" s="44">
        <f>'C3C'!H61</f>
        <v>495093158.38774735</v>
      </c>
      <c r="I11" s="44">
        <f t="shared" si="0"/>
        <v>-254281896.81774735</v>
      </c>
      <c r="J11" s="715">
        <f t="shared" si="1"/>
        <v>-0.51360414198775639</v>
      </c>
      <c r="K11" s="144">
        <f>'C3C'!K61</f>
        <v>495093158.38774735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5790043950</v>
      </c>
      <c r="D21" s="74">
        <f t="shared" ref="D21:I21" si="2">SUM(D6:D20)</f>
        <v>6443701838.8720646</v>
      </c>
      <c r="E21" s="73">
        <f t="shared" si="2"/>
        <v>6594922531.8720646</v>
      </c>
      <c r="F21" s="73">
        <f t="shared" si="2"/>
        <v>587555932.83000004</v>
      </c>
      <c r="G21" s="73">
        <f t="shared" si="2"/>
        <v>6160484336.4599991</v>
      </c>
      <c r="H21" s="73">
        <f t="shared" si="2"/>
        <v>6594922531.8720646</v>
      </c>
      <c r="I21" s="73">
        <f t="shared" si="2"/>
        <v>-434438195.41206443</v>
      </c>
      <c r="J21" s="716">
        <f t="shared" si="1"/>
        <v>-6.587464724756105E-2</v>
      </c>
      <c r="K21" s="145">
        <f>SUM(K6:K20)</f>
        <v>6594922531.8720646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156640668.94000003</v>
      </c>
      <c r="D24" s="46">
        <f>'C3C'!D174</f>
        <v>181805355.87582266</v>
      </c>
      <c r="E24" s="44">
        <f>'C3C'!E174</f>
        <v>187429782.20182845</v>
      </c>
      <c r="F24" s="44">
        <f>'C3C'!F174</f>
        <v>15597021.750000004</v>
      </c>
      <c r="G24" s="44">
        <f>'C3C'!G174</f>
        <v>144144123.83999994</v>
      </c>
      <c r="H24" s="44">
        <f>'C3C'!H174</f>
        <v>187429782.20182842</v>
      </c>
      <c r="I24" s="44">
        <f t="shared" ref="I24:I38" si="3">G24-H24</f>
        <v>-43285658.361828476</v>
      </c>
      <c r="J24" s="715">
        <f t="shared" ref="J24:J29" si="4">IF(I24=0,"",I24/H24)</f>
        <v>-0.23094333170177592</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489444288.83000004</v>
      </c>
      <c r="D25" s="46">
        <f>'C3C'!D185</f>
        <v>700877661.2400291</v>
      </c>
      <c r="E25" s="44">
        <f>'C3C'!E185</f>
        <v>705258982.70556009</v>
      </c>
      <c r="F25" s="44">
        <f>'C3C'!F185</f>
        <v>386177465.77999985</v>
      </c>
      <c r="G25" s="44">
        <f>'C3C'!G185</f>
        <v>797230702.6700002</v>
      </c>
      <c r="H25" s="44">
        <f>'C3C'!H185</f>
        <v>705258982.70556009</v>
      </c>
      <c r="I25" s="44">
        <f t="shared" si="3"/>
        <v>91971719.964440107</v>
      </c>
      <c r="J25" s="715">
        <f t="shared" si="4"/>
        <v>0.13040843465986388</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734370884.89999974</v>
      </c>
      <c r="D26" s="46">
        <f>'C3C'!D196</f>
        <v>743751614.16259539</v>
      </c>
      <c r="E26" s="44">
        <f>'C3C'!E196</f>
        <v>769029279.16259539</v>
      </c>
      <c r="F26" s="44">
        <f>'C3C'!F196</f>
        <v>72243843.830000013</v>
      </c>
      <c r="G26" s="44">
        <f>'C3C'!G196</f>
        <v>814855958.54999995</v>
      </c>
      <c r="H26" s="44">
        <f>'C3C'!H196</f>
        <v>769029279.16259539</v>
      </c>
      <c r="I26" s="44">
        <f t="shared" si="3"/>
        <v>45826679.387404561</v>
      </c>
      <c r="J26" s="715">
        <f t="shared" si="4"/>
        <v>5.959029211125192E-2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155921670.60000002</v>
      </c>
      <c r="D27" s="46">
        <f>'C3C'!D207</f>
        <v>200548950.39124021</v>
      </c>
      <c r="E27" s="44">
        <f>'C3C'!E207</f>
        <v>215358953.39108872</v>
      </c>
      <c r="F27" s="44">
        <f>'C3C'!F207</f>
        <v>27484185.159999996</v>
      </c>
      <c r="G27" s="44">
        <f>'C3C'!G207</f>
        <v>163171630.98000002</v>
      </c>
      <c r="H27" s="44">
        <f>'C3C'!H207</f>
        <v>215358953.39108869</v>
      </c>
      <c r="I27" s="44">
        <f t="shared" si="3"/>
        <v>-52187322.411088675</v>
      </c>
      <c r="J27" s="715">
        <f t="shared" si="4"/>
        <v>-0.24232715468447352</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3776349725.2899971</v>
      </c>
      <c r="D28" s="46">
        <f>'C3C'!D218</f>
        <v>3393288719.277081</v>
      </c>
      <c r="E28" s="44">
        <f>'C3C'!E218</f>
        <v>3407283654.0811782</v>
      </c>
      <c r="F28" s="44">
        <f>'C3C'!F218</f>
        <v>430684744.05000007</v>
      </c>
      <c r="G28" s="44">
        <f>'C3C'!G218</f>
        <v>3620092253.7599993</v>
      </c>
      <c r="H28" s="44">
        <f>'C3C'!H218</f>
        <v>3407283654.0811782</v>
      </c>
      <c r="I28" s="44">
        <f t="shared" si="3"/>
        <v>212808599.67882109</v>
      </c>
      <c r="J28" s="715">
        <f t="shared" si="4"/>
        <v>6.2456966100818488E-2</v>
      </c>
      <c r="K28" s="144">
        <f>'C3C'!K218</f>
        <v>3407283654.0811782</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253921598.99000007</v>
      </c>
      <c r="D29" s="46">
        <f>'C3C'!D229</f>
        <v>296205168.59786338</v>
      </c>
      <c r="E29" s="44">
        <f>'C3C'!E229</f>
        <v>388790375.15482336</v>
      </c>
      <c r="F29" s="44">
        <f>'C3C'!F229</f>
        <v>24989035.680000003</v>
      </c>
      <c r="G29" s="44">
        <f>'C3C'!G229</f>
        <v>232548760.91</v>
      </c>
      <c r="H29" s="44">
        <f>'C3C'!H229</f>
        <v>388790375.15482336</v>
      </c>
      <c r="I29" s="44">
        <f t="shared" si="3"/>
        <v>-156241614.24482337</v>
      </c>
      <c r="J29" s="715">
        <f t="shared" si="4"/>
        <v>-0.40186595201232833</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5566648837.5499973</v>
      </c>
      <c r="D39" s="475">
        <f t="shared" ref="D39:I39" si="6">SUM(D24:D38)</f>
        <v>5516477469.544631</v>
      </c>
      <c r="E39" s="430">
        <f t="shared" si="6"/>
        <v>5673151026.6970739</v>
      </c>
      <c r="F39" s="430">
        <f t="shared" si="6"/>
        <v>957176296.24999988</v>
      </c>
      <c r="G39" s="430">
        <f t="shared" si="6"/>
        <v>5772043430.7099991</v>
      </c>
      <c r="H39" s="430">
        <f t="shared" si="6"/>
        <v>5673151026.6970739</v>
      </c>
      <c r="I39" s="430">
        <f t="shared" si="6"/>
        <v>98892404.012925237</v>
      </c>
      <c r="J39" s="718">
        <f>IF(I39=0,"",I39/H39)</f>
        <v>1.7431653687263231E-2</v>
      </c>
      <c r="K39" s="513">
        <f>SUM(K24:K38)</f>
        <v>5673151026.6970739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223395112.45000267</v>
      </c>
      <c r="D40" s="56">
        <f t="shared" si="7"/>
        <v>927224369.32743359</v>
      </c>
      <c r="E40" s="55">
        <f t="shared" si="7"/>
        <v>921771505.17499065</v>
      </c>
      <c r="F40" s="55">
        <f t="shared" si="7"/>
        <v>-369620363.41999984</v>
      </c>
      <c r="G40" s="55">
        <f t="shared" si="7"/>
        <v>388440905.75</v>
      </c>
      <c r="H40" s="55">
        <f t="shared" si="7"/>
        <v>921771505.17499065</v>
      </c>
      <c r="I40" s="55">
        <f>I21-I39</f>
        <v>-533330599.4249897</v>
      </c>
      <c r="J40" s="719">
        <f>IF(I40=0,"",I40/H40)</f>
        <v>-0.57859306393262977</v>
      </c>
      <c r="K40" s="235">
        <f>K21-K39</f>
        <v>921771505.17499065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s="25" customFormat="1" ht="11.25" customHeight="1" x14ac:dyDescent="0.25">
      <c r="A49" s="67"/>
    </row>
    <row r="50" spans="1:1" s="25" customFormat="1" ht="11.25" customHeight="1" x14ac:dyDescent="0.25">
      <c r="A50" s="67"/>
    </row>
    <row r="51" spans="1:1" s="25" customFormat="1" ht="11.25" customHeight="1" x14ac:dyDescent="0.25"/>
    <row r="52" spans="1:1" s="25" customFormat="1" ht="11.25" customHeight="1" x14ac:dyDescent="0.25"/>
    <row r="53" spans="1:1" s="25" customFormat="1" ht="11.25" customHeight="1" x14ac:dyDescent="0.25"/>
    <row r="54" spans="1:1" s="25" customFormat="1" ht="11.25" customHeight="1" x14ac:dyDescent="0.25"/>
    <row r="55" spans="1:1" s="25" customFormat="1" ht="11.25" customHeight="1" x14ac:dyDescent="0.25"/>
    <row r="56" spans="1:1" s="25" customFormat="1" ht="11.25" customHeight="1" x14ac:dyDescent="0.25"/>
    <row r="57" spans="1:1" s="25" customFormat="1" ht="11.25" customHeight="1" x14ac:dyDescent="0.25"/>
    <row r="58" spans="1:1" s="25" customFormat="1" ht="11.25" customHeight="1" x14ac:dyDescent="0.25"/>
    <row r="59" spans="1:1" s="25" customFormat="1" ht="11.25" customHeight="1" x14ac:dyDescent="0.25"/>
    <row r="60" spans="1:1" s="25" customFormat="1" ht="11.25" customHeight="1" x14ac:dyDescent="0.25"/>
    <row r="61" spans="1:1" s="25" customFormat="1" ht="11.25" customHeight="1" x14ac:dyDescent="0.25"/>
    <row r="62" spans="1:1" s="25" customFormat="1" ht="11.25" customHeight="1" x14ac:dyDescent="0.25"/>
    <row r="63" spans="1:1" s="25" customFormat="1" ht="11.25" customHeight="1" x14ac:dyDescent="0.25"/>
    <row r="64" spans="1:1" s="25" customFormat="1"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8" activePane="bottomRight" state="frozen"/>
      <selection pane="topRight"/>
      <selection pane="bottomLeft"/>
      <selection pane="bottomRight" activeCell="K234" sqref="K23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Q4 Fourth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325.93999999998891</v>
      </c>
      <c r="D6" s="444">
        <f t="shared" ref="D6:K6" si="0">SUM(D7:D16)</f>
        <v>4447530.0133999996</v>
      </c>
      <c r="E6" s="441">
        <f t="shared" si="0"/>
        <v>4447530.0133999996</v>
      </c>
      <c r="F6" s="443">
        <f t="shared" si="0"/>
        <v>0</v>
      </c>
      <c r="G6" s="441">
        <f t="shared" si="0"/>
        <v>297000</v>
      </c>
      <c r="H6" s="443">
        <f t="shared" si="0"/>
        <v>4447530.0133999996</v>
      </c>
      <c r="I6" s="44">
        <f t="shared" ref="I6:I69" si="1">G6-H6</f>
        <v>-4150530.0133999996</v>
      </c>
      <c r="J6" s="330">
        <f t="shared" ref="J6:J69" si="2">IF(I6=0,"",I6/H6)</f>
        <v>-0.93322136127127497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v>34.9</v>
      </c>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v>129164.97</v>
      </c>
      <c r="D8" s="740">
        <v>4447530.0133999996</v>
      </c>
      <c r="E8" s="741">
        <v>4447530.0133999996</v>
      </c>
      <c r="F8" s="742"/>
      <c r="G8" s="741">
        <v>-3000</v>
      </c>
      <c r="H8" s="742">
        <f>E8/12*12</f>
        <v>4447530.0133999996</v>
      </c>
      <c r="I8" s="44">
        <f t="shared" si="1"/>
        <v>-4450530.0133999996</v>
      </c>
      <c r="J8" s="330">
        <f t="shared" si="2"/>
        <v>-1.0006745317043306</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v>-128887.71</v>
      </c>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v>13.78</v>
      </c>
      <c r="D10" s="740"/>
      <c r="E10" s="741"/>
      <c r="F10" s="742"/>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1641040016.2699997</v>
      </c>
      <c r="D17" s="444">
        <f t="shared" ref="D17:K17" si="3">SUM(D18:D27)</f>
        <v>2396133945.7871332</v>
      </c>
      <c r="E17" s="441">
        <f t="shared" si="3"/>
        <v>2485131945.7871332</v>
      </c>
      <c r="F17" s="443">
        <f t="shared" si="3"/>
        <v>117476349.13</v>
      </c>
      <c r="G17" s="441">
        <f t="shared" si="3"/>
        <v>1677668165.2799997</v>
      </c>
      <c r="H17" s="443">
        <f t="shared" si="3"/>
        <v>2485131945.7871332</v>
      </c>
      <c r="I17" s="44">
        <f t="shared" si="1"/>
        <v>-807463780.50713348</v>
      </c>
      <c r="J17" s="330">
        <f t="shared" si="2"/>
        <v>-0.32491787081002649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v>40943851.560000002</v>
      </c>
      <c r="D18" s="740"/>
      <c r="E18" s="741"/>
      <c r="F18" s="742">
        <v>3218382.2</v>
      </c>
      <c r="G18" s="741">
        <v>7877175.2999999998</v>
      </c>
      <c r="H18" s="742"/>
      <c r="I18" s="44">
        <f t="shared" si="1"/>
        <v>7877175.2999999998</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v>314420414.69999999</v>
      </c>
      <c r="D19" s="740">
        <v>518591000.00000095</v>
      </c>
      <c r="E19" s="741">
        <v>607589000.00000095</v>
      </c>
      <c r="F19" s="742">
        <v>1314634.1200000001</v>
      </c>
      <c r="G19" s="741">
        <v>385605199.26999998</v>
      </c>
      <c r="H19" s="742">
        <f>E19/12*12</f>
        <v>607589000.00000095</v>
      </c>
      <c r="I19" s="44">
        <f t="shared" si="1"/>
        <v>-221983800.73000097</v>
      </c>
      <c r="J19" s="330">
        <f t="shared" si="2"/>
        <v>-0.36535190849406529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v>264.31</v>
      </c>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v>1285595512.3599999</v>
      </c>
      <c r="D21" s="740">
        <v>1877542945.7871323</v>
      </c>
      <c r="E21" s="741">
        <v>1877542945.7871323</v>
      </c>
      <c r="F21" s="742">
        <v>112942897.15000001</v>
      </c>
      <c r="G21" s="741">
        <v>1284084366.8399999</v>
      </c>
      <c r="H21" s="742">
        <f>E21/12*12</f>
        <v>1877542945.7871323</v>
      </c>
      <c r="I21" s="44">
        <f t="shared" si="1"/>
        <v>-593458578.94713235</v>
      </c>
      <c r="J21" s="330">
        <f t="shared" si="2"/>
        <v>-0.31608255900550575</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v>79973.34</v>
      </c>
      <c r="D22" s="740"/>
      <c r="E22" s="741"/>
      <c r="F22" s="742">
        <v>435.66</v>
      </c>
      <c r="G22" s="741">
        <v>101423.87</v>
      </c>
      <c r="H22" s="742"/>
      <c r="I22" s="44">
        <f t="shared" si="1"/>
        <v>101423.87</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200023446.69999999</v>
      </c>
      <c r="D28" s="444">
        <f t="shared" si="4"/>
        <v>214664344.29579172</v>
      </c>
      <c r="E28" s="441">
        <f t="shared" si="4"/>
        <v>214664344.29579172</v>
      </c>
      <c r="F28" s="443">
        <f>SUM(F29:F32)</f>
        <v>9722579.9399999995</v>
      </c>
      <c r="G28" s="441">
        <f>SUM(G29:G32)</f>
        <v>198045302.54000002</v>
      </c>
      <c r="H28" s="443">
        <f t="shared" si="4"/>
        <v>214664344.29579172</v>
      </c>
      <c r="I28" s="44">
        <f t="shared" si="1"/>
        <v>-16619041.755791694</v>
      </c>
      <c r="J28" s="330">
        <f t="shared" si="2"/>
        <v>-7.741873393231935E-2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v>790002.4</v>
      </c>
      <c r="D29" s="740">
        <v>3523188.2817999995</v>
      </c>
      <c r="E29" s="741">
        <v>3523188.2817999995</v>
      </c>
      <c r="F29" s="742">
        <v>24937.31</v>
      </c>
      <c r="G29" s="741">
        <v>174894.35</v>
      </c>
      <c r="H29" s="741">
        <f t="shared" ref="H29:H32" si="5">E29/12*12</f>
        <v>3523188.2817999995</v>
      </c>
      <c r="I29" s="258">
        <f t="shared" si="1"/>
        <v>-3348293.9317999994</v>
      </c>
      <c r="J29" s="330">
        <f t="shared" si="2"/>
        <v>-0.95035906797730196</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v>15025160.9</v>
      </c>
      <c r="D30" s="740">
        <v>4814533.8647999996</v>
      </c>
      <c r="E30" s="741">
        <v>4814533.8647999996</v>
      </c>
      <c r="F30" s="742">
        <v>770053.78</v>
      </c>
      <c r="G30" s="741">
        <v>20738573.289999999</v>
      </c>
      <c r="H30" s="742">
        <f t="shared" si="5"/>
        <v>4814533.8647999996</v>
      </c>
      <c r="I30" s="44">
        <f t="shared" si="1"/>
        <v>15924039.4252</v>
      </c>
      <c r="J30" s="330">
        <f t="shared" si="2"/>
        <v>3.3074934920748555</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v>38380324.759999998</v>
      </c>
      <c r="D31" s="740">
        <v>21976054.78726843</v>
      </c>
      <c r="E31" s="741">
        <v>21976054.78726843</v>
      </c>
      <c r="F31" s="742">
        <v>635194.6</v>
      </c>
      <c r="G31" s="741">
        <v>23892730.57</v>
      </c>
      <c r="H31" s="742">
        <f t="shared" si="5"/>
        <v>21976054.78726843</v>
      </c>
      <c r="I31" s="44">
        <f t="shared" si="1"/>
        <v>1916675.7827315703</v>
      </c>
      <c r="J31" s="330">
        <f t="shared" si="2"/>
        <v>8.7216554622077752E-2</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v>145827958.63999999</v>
      </c>
      <c r="D32" s="740">
        <v>184350567.36192328</v>
      </c>
      <c r="E32" s="741">
        <v>184350567.36192328</v>
      </c>
      <c r="F32" s="742">
        <v>8292394.25</v>
      </c>
      <c r="G32" s="741">
        <v>153239104.33000001</v>
      </c>
      <c r="H32" s="742">
        <f t="shared" si="5"/>
        <v>184350567.36192328</v>
      </c>
      <c r="I32" s="44">
        <f t="shared" si="1"/>
        <v>-31111463.031923264</v>
      </c>
      <c r="J32" s="330">
        <f t="shared" si="2"/>
        <v>-0.16876250221049868</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10720708.949999999</v>
      </c>
      <c r="D39" s="444">
        <f t="shared" si="7"/>
        <v>19239180.686499998</v>
      </c>
      <c r="E39" s="441">
        <f t="shared" si="7"/>
        <v>19239180.686499998</v>
      </c>
      <c r="F39" s="443">
        <f t="shared" si="7"/>
        <v>242377.49</v>
      </c>
      <c r="G39" s="441">
        <f t="shared" si="7"/>
        <v>5881700.4299999997</v>
      </c>
      <c r="H39" s="443">
        <f t="shared" si="7"/>
        <v>19239180.686499998</v>
      </c>
      <c r="I39" s="44">
        <f t="shared" si="1"/>
        <v>-13357480.256499998</v>
      </c>
      <c r="J39" s="330">
        <f t="shared" si="2"/>
        <v>-0.69428529593637278</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v>3019034.71</v>
      </c>
      <c r="D40" s="740">
        <v>18980058.640900001</v>
      </c>
      <c r="E40" s="741">
        <v>18980058.640900001</v>
      </c>
      <c r="F40" s="742">
        <v>97047.73</v>
      </c>
      <c r="G40" s="741">
        <v>1962096.86</v>
      </c>
      <c r="H40" s="742">
        <f t="shared" ref="H40:H42" si="8">E40/12*12</f>
        <v>18980058.640900001</v>
      </c>
      <c r="I40" s="44">
        <f t="shared" si="1"/>
        <v>-17017961.780900002</v>
      </c>
      <c r="J40" s="330">
        <f t="shared" si="2"/>
        <v>-0.89662324563255613</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v>616.54</v>
      </c>
      <c r="D41" s="740">
        <v>2016.0139999999999</v>
      </c>
      <c r="E41" s="741">
        <v>2016.0139999999999</v>
      </c>
      <c r="F41" s="742">
        <v>-58.26</v>
      </c>
      <c r="G41" s="741">
        <v>476.51</v>
      </c>
      <c r="H41" s="742">
        <f t="shared" si="8"/>
        <v>2016.0139999999997</v>
      </c>
      <c r="I41" s="44">
        <f t="shared" si="1"/>
        <v>-1539.5039999999997</v>
      </c>
      <c r="J41" s="330">
        <f t="shared" si="2"/>
        <v>-0.76363755410428691</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v>135.57</v>
      </c>
      <c r="D42" s="740">
        <v>257106.03159999999</v>
      </c>
      <c r="E42" s="741">
        <v>257106.03159999999</v>
      </c>
      <c r="F42" s="742">
        <v>35</v>
      </c>
      <c r="G42" s="741">
        <v>140.80000000000001</v>
      </c>
      <c r="H42" s="742">
        <f t="shared" si="8"/>
        <v>257106.03159999999</v>
      </c>
      <c r="I42" s="44">
        <f t="shared" si="1"/>
        <v>-256965.2316</v>
      </c>
      <c r="J42" s="330">
        <f t="shared" si="2"/>
        <v>-0.99945236601753851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v>3500875.81</v>
      </c>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v>4200046.32</v>
      </c>
      <c r="D44" s="740"/>
      <c r="E44" s="741"/>
      <c r="F44" s="742">
        <v>145353.01999999999</v>
      </c>
      <c r="G44" s="741">
        <v>3918986.26</v>
      </c>
      <c r="H44" s="742"/>
      <c r="I44" s="44">
        <f t="shared" si="1"/>
        <v>3918986.26</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3770506292.9300003</v>
      </c>
      <c r="D50" s="444">
        <f t="shared" ref="D50:K50" si="10">SUM(D51:D60)</f>
        <v>3376346372.7014918</v>
      </c>
      <c r="E50" s="441">
        <f t="shared" si="10"/>
        <v>3376346372.7014918</v>
      </c>
      <c r="F50" s="443">
        <f t="shared" si="10"/>
        <v>329528421.24000001</v>
      </c>
      <c r="G50" s="441">
        <f t="shared" si="10"/>
        <v>4037780906.6399999</v>
      </c>
      <c r="H50" s="443">
        <f t="shared" si="10"/>
        <v>3376346372.7014918</v>
      </c>
      <c r="I50" s="44">
        <f t="shared" si="1"/>
        <v>661434533.93850803</v>
      </c>
      <c r="J50" s="330">
        <f t="shared" si="2"/>
        <v>0.19590245221472322</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v>2209984880.3800001</v>
      </c>
      <c r="D51" s="740">
        <v>1787507107.4868703</v>
      </c>
      <c r="E51" s="741">
        <v>1787507107.4868703</v>
      </c>
      <c r="F51" s="742">
        <v>186234967.34999999</v>
      </c>
      <c r="G51" s="741">
        <v>2334537372.1300001</v>
      </c>
      <c r="H51" s="742">
        <f t="shared" ref="H51:H54" si="11">E51/12*12</f>
        <v>1787507107.4868703</v>
      </c>
      <c r="I51" s="44">
        <f t="shared" si="1"/>
        <v>547030264.64312983</v>
      </c>
      <c r="J51" s="330">
        <f t="shared" si="2"/>
        <v>0.30602970044254657</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v>6272011.5300000003</v>
      </c>
      <c r="D52" s="740">
        <v>19637703.2643</v>
      </c>
      <c r="E52" s="741">
        <v>19637703.2643</v>
      </c>
      <c r="F52" s="742">
        <v>337819.04</v>
      </c>
      <c r="G52" s="741">
        <v>6073756.3700000001</v>
      </c>
      <c r="H52" s="742">
        <f t="shared" si="11"/>
        <v>19637703.2643</v>
      </c>
      <c r="I52" s="44">
        <f t="shared" si="1"/>
        <v>-13563946.894299999</v>
      </c>
      <c r="J52" s="330">
        <f t="shared" si="2"/>
        <v>-0.69070943336629009</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v>239604029.53</v>
      </c>
      <c r="D53" s="740">
        <v>65792799.755315199</v>
      </c>
      <c r="E53" s="741">
        <v>65792799.755315199</v>
      </c>
      <c r="F53" s="742">
        <v>31012535.620000001</v>
      </c>
      <c r="G53" s="741">
        <v>234865635.02000001</v>
      </c>
      <c r="H53" s="742">
        <f t="shared" si="11"/>
        <v>65792799.755315199</v>
      </c>
      <c r="I53" s="44">
        <f t="shared" si="1"/>
        <v>169072835.2646848</v>
      </c>
      <c r="J53" s="330">
        <f t="shared" si="2"/>
        <v>2.5697771776466456</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v>1314645345.04</v>
      </c>
      <c r="D54" s="740">
        <v>1503408762.1950061</v>
      </c>
      <c r="E54" s="741">
        <v>1503408762.1950061</v>
      </c>
      <c r="F54" s="742">
        <v>111943099.23</v>
      </c>
      <c r="G54" s="741">
        <v>1462304143.1199999</v>
      </c>
      <c r="H54" s="742">
        <f t="shared" si="11"/>
        <v>1503408762.1950061</v>
      </c>
      <c r="I54" s="44">
        <f t="shared" si="1"/>
        <v>-41104619.075006247</v>
      </c>
      <c r="J54" s="330">
        <f t="shared" si="2"/>
        <v>-2.7340946859317688E-2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v>26.45</v>
      </c>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167753159.20999998</v>
      </c>
      <c r="D61" s="444">
        <f t="shared" ref="D61:K61" si="13">SUM(D62:D71)</f>
        <v>432870465.38774735</v>
      </c>
      <c r="E61" s="441">
        <f t="shared" si="13"/>
        <v>495093158.38774735</v>
      </c>
      <c r="F61" s="443">
        <f t="shared" si="13"/>
        <v>130586205.03</v>
      </c>
      <c r="G61" s="441">
        <f t="shared" si="13"/>
        <v>240811261.56999999</v>
      </c>
      <c r="H61" s="443">
        <f t="shared" si="13"/>
        <v>495093158.38774735</v>
      </c>
      <c r="I61" s="44">
        <f t="shared" si="1"/>
        <v>-254281896.81774735</v>
      </c>
      <c r="J61" s="330">
        <f t="shared" si="2"/>
        <v>-0.51360414198775639</v>
      </c>
      <c r="K61" s="442">
        <f t="shared" si="13"/>
        <v>495093158.38774735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v>33291054.989999998</v>
      </c>
      <c r="D62" s="740"/>
      <c r="E62" s="741">
        <v>513935</v>
      </c>
      <c r="F62" s="742">
        <v>1254835.54</v>
      </c>
      <c r="G62" s="741">
        <v>20681042.59</v>
      </c>
      <c r="H62" s="742">
        <f t="shared" ref="H62:H65" si="14">E62/12*12</f>
        <v>513935</v>
      </c>
      <c r="I62" s="44">
        <f t="shared" si="1"/>
        <v>20167107.59</v>
      </c>
      <c r="J62" s="330">
        <f t="shared" si="2"/>
        <v>39.240580209559575</v>
      </c>
      <c r="K62" s="743">
        <f t="shared" ref="K62:K65" si="15">E62</f>
        <v>513935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v>103539.45</v>
      </c>
      <c r="D63" s="740">
        <v>41022287.158399999</v>
      </c>
      <c r="E63" s="741">
        <v>45022287.158399999</v>
      </c>
      <c r="F63" s="742">
        <v>1253116.6100000001</v>
      </c>
      <c r="G63" s="741">
        <v>2930881.91</v>
      </c>
      <c r="H63" s="742">
        <f t="shared" si="14"/>
        <v>45022287.158399999</v>
      </c>
      <c r="I63" s="44">
        <f t="shared" si="1"/>
        <v>-42091405.248400003</v>
      </c>
      <c r="J63" s="330">
        <f t="shared" si="2"/>
        <v>-0.93490153221917849</v>
      </c>
      <c r="K63" s="743">
        <f t="shared" si="15"/>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v>100718852.83</v>
      </c>
      <c r="D64" s="740">
        <v>328237277.54334736</v>
      </c>
      <c r="E64" s="741">
        <v>386941932.54334736</v>
      </c>
      <c r="F64" s="742">
        <v>17080416.190000001</v>
      </c>
      <c r="G64" s="741">
        <v>97339255.700000003</v>
      </c>
      <c r="H64" s="742">
        <f t="shared" si="14"/>
        <v>386941932.54334736</v>
      </c>
      <c r="I64" s="44">
        <f t="shared" si="1"/>
        <v>-289602676.84334737</v>
      </c>
      <c r="J64" s="330">
        <f t="shared" si="2"/>
        <v>-0.74843963004941183</v>
      </c>
      <c r="K64" s="743">
        <f t="shared" si="15"/>
        <v>386941932.54334736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v>33639711.939999998</v>
      </c>
      <c r="D65" s="740">
        <v>63610900.686000004</v>
      </c>
      <c r="E65" s="741">
        <v>62615003.686000004</v>
      </c>
      <c r="F65" s="742">
        <v>110997836.69</v>
      </c>
      <c r="G65" s="741">
        <v>119860081.37</v>
      </c>
      <c r="H65" s="742">
        <f t="shared" si="14"/>
        <v>62615003.686000004</v>
      </c>
      <c r="I65" s="44">
        <f t="shared" si="1"/>
        <v>57245077.684</v>
      </c>
      <c r="J65" s="330">
        <f t="shared" si="2"/>
        <v>0.91423898928555591</v>
      </c>
      <c r="K65" s="743">
        <f t="shared" si="15"/>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5790043950</v>
      </c>
      <c r="D171" s="451">
        <f t="shared" ref="D171:K171" si="30">D6+D17+D28+D39+D50+D61+D72+D83+D94+D105+D116+D127+D138+D149+D160</f>
        <v>6443701838.8720646</v>
      </c>
      <c r="E171" s="448">
        <f t="shared" si="30"/>
        <v>6594922531.8720646</v>
      </c>
      <c r="F171" s="450">
        <f t="shared" si="30"/>
        <v>587555932.83000004</v>
      </c>
      <c r="G171" s="448">
        <f t="shared" si="30"/>
        <v>6160484336.4599991</v>
      </c>
      <c r="H171" s="450">
        <f t="shared" si="30"/>
        <v>6594922531.8720646</v>
      </c>
      <c r="I171" s="514">
        <f t="shared" si="24"/>
        <v>-434438195.41206551</v>
      </c>
      <c r="J171" s="515">
        <f t="shared" si="25"/>
        <v>-6.5874647247561216E-2</v>
      </c>
      <c r="K171" s="449">
        <f t="shared" si="30"/>
        <v>6594922531.8720646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156640668.94000003</v>
      </c>
      <c r="D174" s="471">
        <f t="shared" si="31"/>
        <v>181805355.87582266</v>
      </c>
      <c r="E174" s="468">
        <f t="shared" si="31"/>
        <v>187429782.20182845</v>
      </c>
      <c r="F174" s="470">
        <f t="shared" si="31"/>
        <v>15597021.750000004</v>
      </c>
      <c r="G174" s="468">
        <f t="shared" si="31"/>
        <v>144144123.83999994</v>
      </c>
      <c r="H174" s="470">
        <f t="shared" si="31"/>
        <v>187429782.20182842</v>
      </c>
      <c r="I174" s="44">
        <f t="shared" si="24"/>
        <v>-43285658.361828476</v>
      </c>
      <c r="J174" s="330">
        <f t="shared" si="25"/>
        <v>-0.23094333170177592</v>
      </c>
      <c r="K174" s="469">
        <f t="shared" si="31"/>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v>18637938.279999994</v>
      </c>
      <c r="D175" s="745">
        <v>19757657.663691994</v>
      </c>
      <c r="E175" s="733">
        <v>20027657.663691994</v>
      </c>
      <c r="F175" s="746">
        <v>2057504.92</v>
      </c>
      <c r="G175" s="733">
        <v>16958418.140000001</v>
      </c>
      <c r="H175" s="746">
        <f t="shared" ref="H175:H178" si="32">E175/12*12</f>
        <v>20027657.663691994</v>
      </c>
      <c r="I175" s="44">
        <f t="shared" si="24"/>
        <v>-3069239.5236919932</v>
      </c>
      <c r="J175" s="330">
        <f t="shared" si="25"/>
        <v>-0.15325004926842728</v>
      </c>
      <c r="K175" s="747">
        <f t="shared" ref="K175:K178" si="33">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v>55644220.539999992</v>
      </c>
      <c r="D176" s="745">
        <v>42326752.982156038</v>
      </c>
      <c r="E176" s="733">
        <v>44836077.308161847</v>
      </c>
      <c r="F176" s="746">
        <v>5488360.7800000012</v>
      </c>
      <c r="G176" s="733">
        <v>40076882.280000001</v>
      </c>
      <c r="H176" s="746">
        <f t="shared" si="32"/>
        <v>44836077.308161847</v>
      </c>
      <c r="I176" s="44">
        <f t="shared" si="24"/>
        <v>-4759195.0281618461</v>
      </c>
      <c r="J176" s="330">
        <f t="shared" si="25"/>
        <v>-0.10614655237235694</v>
      </c>
      <c r="K176" s="747">
        <f t="shared" si="33"/>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v>76857803.39000003</v>
      </c>
      <c r="D177" s="745">
        <v>106872334.4376146</v>
      </c>
      <c r="E177" s="733">
        <v>109635554.4376146</v>
      </c>
      <c r="F177" s="746">
        <v>7584494.8200000022</v>
      </c>
      <c r="G177" s="733">
        <v>80339935.579999924</v>
      </c>
      <c r="H177" s="746">
        <f t="shared" si="32"/>
        <v>109635554.43761459</v>
      </c>
      <c r="I177" s="44">
        <f t="shared" si="24"/>
        <v>-29295618.857614666</v>
      </c>
      <c r="J177" s="330">
        <f t="shared" si="25"/>
        <v>-0.26720910937960929</v>
      </c>
      <c r="K177" s="747">
        <f t="shared" si="33"/>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v>5500706.7299999995</v>
      </c>
      <c r="D178" s="745">
        <v>12848610.792359998</v>
      </c>
      <c r="E178" s="733">
        <v>12930492.792359998</v>
      </c>
      <c r="F178" s="746">
        <v>466661.23000000004</v>
      </c>
      <c r="G178" s="733">
        <v>6768887.839999998</v>
      </c>
      <c r="H178" s="746">
        <f t="shared" si="32"/>
        <v>12930492.792359998</v>
      </c>
      <c r="I178" s="44">
        <f t="shared" si="24"/>
        <v>-6161604.9523600005</v>
      </c>
      <c r="J178" s="330">
        <f t="shared" si="25"/>
        <v>-0.47651741130860797</v>
      </c>
      <c r="K178" s="747">
        <f t="shared" si="33"/>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489444288.83000004</v>
      </c>
      <c r="D185" s="444">
        <f>SUM(D186:D195)</f>
        <v>700877661.2400291</v>
      </c>
      <c r="E185" s="441">
        <f t="shared" ref="E185:K185" si="34">SUM(E186:E195)</f>
        <v>705258982.70556009</v>
      </c>
      <c r="F185" s="443">
        <f t="shared" si="34"/>
        <v>386177465.77999985</v>
      </c>
      <c r="G185" s="441">
        <f t="shared" si="34"/>
        <v>797230702.6700002</v>
      </c>
      <c r="H185" s="443">
        <f t="shared" si="34"/>
        <v>705258982.70556009</v>
      </c>
      <c r="I185" s="44">
        <f t="shared" si="24"/>
        <v>91971719.964440107</v>
      </c>
      <c r="J185" s="330">
        <f t="shared" si="25"/>
        <v>0.13040843465986388</v>
      </c>
      <c r="K185" s="442">
        <f t="shared" si="34"/>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v>74868789.679999962</v>
      </c>
      <c r="D186" s="745">
        <v>94584991.874728531</v>
      </c>
      <c r="E186" s="733">
        <v>96104991.874728531</v>
      </c>
      <c r="F186" s="746">
        <v>6944688.0899999999</v>
      </c>
      <c r="G186" s="733">
        <v>67959640.14000003</v>
      </c>
      <c r="H186" s="746">
        <f t="shared" ref="H186:H190" si="35">E186/12*12</f>
        <v>96104991.874728531</v>
      </c>
      <c r="I186" s="44">
        <f t="shared" si="24"/>
        <v>-28145351.7347285</v>
      </c>
      <c r="J186" s="330">
        <f t="shared" si="25"/>
        <v>-0.29286045590030912</v>
      </c>
      <c r="K186" s="747">
        <f t="shared" ref="K186:K190" si="36">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v>27419381.869999975</v>
      </c>
      <c r="D187" s="745">
        <v>34270508.087497681</v>
      </c>
      <c r="E187" s="733">
        <v>41666637.790604897</v>
      </c>
      <c r="F187" s="746">
        <v>54143303.360000022</v>
      </c>
      <c r="G187" s="733">
        <v>135024534.75000006</v>
      </c>
      <c r="H187" s="746">
        <f t="shared" si="35"/>
        <v>41666637.790604897</v>
      </c>
      <c r="I187" s="44">
        <f t="shared" si="24"/>
        <v>93357896.95939517</v>
      </c>
      <c r="J187" s="330">
        <f t="shared" si="25"/>
        <v>2.2405910798121984</v>
      </c>
      <c r="K187" s="747">
        <f t="shared" si="36"/>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v>63846097.970000014</v>
      </c>
      <c r="D188" s="745">
        <v>484978367.60950798</v>
      </c>
      <c r="E188" s="733">
        <v>457625622.91509426</v>
      </c>
      <c r="F188" s="746">
        <v>9531741.1399999969</v>
      </c>
      <c r="G188" s="733">
        <v>44824722.630000003</v>
      </c>
      <c r="H188" s="746">
        <f t="shared" si="35"/>
        <v>457625622.91509426</v>
      </c>
      <c r="I188" s="44">
        <f t="shared" si="24"/>
        <v>-412800900.28509426</v>
      </c>
      <c r="J188" s="330">
        <f t="shared" si="25"/>
        <v>-0.90204936003262959</v>
      </c>
      <c r="K188" s="747">
        <f t="shared" si="36"/>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v>260128714.92000005</v>
      </c>
      <c r="D189" s="745">
        <v>22239285.456538409</v>
      </c>
      <c r="E189" s="733">
        <v>23740330.456538409</v>
      </c>
      <c r="F189" s="746">
        <v>305195863.04999983</v>
      </c>
      <c r="G189" s="733">
        <v>488162115.03000015</v>
      </c>
      <c r="H189" s="746">
        <f t="shared" si="35"/>
        <v>23740330.456538409</v>
      </c>
      <c r="I189" s="44">
        <f t="shared" si="24"/>
        <v>464421784.57346177</v>
      </c>
      <c r="J189" s="330">
        <f t="shared" si="25"/>
        <v>19.562566132922285</v>
      </c>
      <c r="K189" s="747">
        <f t="shared" si="36"/>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v>63181304.390000015</v>
      </c>
      <c r="D190" s="745">
        <v>64804508.211756505</v>
      </c>
      <c r="E190" s="733">
        <v>86121399.668594033</v>
      </c>
      <c r="F190" s="746">
        <v>10361870.140000001</v>
      </c>
      <c r="G190" s="733">
        <v>61259690.120000005</v>
      </c>
      <c r="H190" s="746">
        <f t="shared" si="35"/>
        <v>86121399.668594033</v>
      </c>
      <c r="I190" s="44">
        <f t="shared" si="24"/>
        <v>-24861709.548594028</v>
      </c>
      <c r="J190" s="330">
        <f t="shared" si="25"/>
        <v>-0.28868213526794745</v>
      </c>
      <c r="K190" s="747">
        <f t="shared" si="36"/>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734370884.89999974</v>
      </c>
      <c r="D196" s="444">
        <f t="shared" si="37"/>
        <v>743751614.16259539</v>
      </c>
      <c r="E196" s="441">
        <f t="shared" si="37"/>
        <v>769029279.16259539</v>
      </c>
      <c r="F196" s="443">
        <f>SUM(F197:F200)</f>
        <v>72243843.830000013</v>
      </c>
      <c r="G196" s="441">
        <f>SUM(G197:G200)</f>
        <v>814855958.54999995</v>
      </c>
      <c r="H196" s="443">
        <f t="shared" si="37"/>
        <v>769029279.16259539</v>
      </c>
      <c r="I196" s="44">
        <f t="shared" si="24"/>
        <v>45826679.387404561</v>
      </c>
      <c r="J196" s="330">
        <f t="shared" si="25"/>
        <v>5.959029211125192E-2</v>
      </c>
      <c r="K196" s="442">
        <f t="shared" si="37"/>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v>32379250.299999986</v>
      </c>
      <c r="D197" s="745"/>
      <c r="E197" s="733"/>
      <c r="F197" s="746">
        <v>2849771.1600000011</v>
      </c>
      <c r="G197" s="733">
        <v>36311651.959999993</v>
      </c>
      <c r="H197" s="746"/>
      <c r="I197" s="44">
        <f t="shared" si="24"/>
        <v>36311651.959999993</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v>336647862.6099999</v>
      </c>
      <c r="D198" s="745">
        <v>743751614.16259539</v>
      </c>
      <c r="E198" s="733">
        <v>768791614.16259539</v>
      </c>
      <c r="F198" s="746">
        <v>33441260.679999992</v>
      </c>
      <c r="G198" s="733">
        <v>354604351.52999997</v>
      </c>
      <c r="H198" s="746">
        <f t="shared" ref="H198:H200" si="38">E198/12*12</f>
        <v>768791614.16259539</v>
      </c>
      <c r="I198" s="44">
        <f>G198-H198</f>
        <v>-414187262.63259542</v>
      </c>
      <c r="J198" s="330">
        <f t="shared" ref="J198:J261" si="39">IF(I198=0,"",I198/H198)</f>
        <v>-0.5387510152328443</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v>237534789.84999979</v>
      </c>
      <c r="D199" s="745"/>
      <c r="E199" s="733">
        <v>3737665</v>
      </c>
      <c r="F199" s="746">
        <v>25131589.420000013</v>
      </c>
      <c r="G199" s="733">
        <v>301175037.91000003</v>
      </c>
      <c r="H199" s="746">
        <f t="shared" si="38"/>
        <v>3737665</v>
      </c>
      <c r="I199" s="44">
        <f t="shared" ref="I199:I261" si="40">G199-H199</f>
        <v>297437372.91000003</v>
      </c>
      <c r="J199" s="330">
        <f t="shared" si="39"/>
        <v>79.578392635509076</v>
      </c>
      <c r="K199" s="747">
        <f t="shared" ref="K199:K200" si="41">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v>127808982.13999997</v>
      </c>
      <c r="D200" s="745"/>
      <c r="E200" s="733">
        <v>-3500000</v>
      </c>
      <c r="F200" s="746">
        <v>10821222.57</v>
      </c>
      <c r="G200" s="733">
        <v>122764917.14999996</v>
      </c>
      <c r="H200" s="746">
        <f t="shared" si="38"/>
        <v>-3500000</v>
      </c>
      <c r="I200" s="44">
        <f t="shared" si="40"/>
        <v>126264917.14999996</v>
      </c>
      <c r="J200" s="330">
        <f t="shared" si="39"/>
        <v>-36.075690614285705</v>
      </c>
      <c r="K200" s="747">
        <f t="shared" si="41"/>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v>10361870.140000001</v>
      </c>
      <c r="G201" s="384">
        <v>61259690.120000005</v>
      </c>
      <c r="H201" s="472"/>
      <c r="I201" s="44">
        <f t="shared" si="40"/>
        <v>61259690.120000005</v>
      </c>
      <c r="J201" s="330" t="e">
        <f t="shared" si="39"/>
        <v>#DIV/0!</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40"/>
        <v>0</v>
      </c>
      <c r="J202" s="330" t="str">
        <f t="shared" si="39"/>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40"/>
        <v>0</v>
      </c>
      <c r="J203" s="330" t="str">
        <f t="shared" si="39"/>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40"/>
        <v>0</v>
      </c>
      <c r="J204" s="330" t="str">
        <f t="shared" si="39"/>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40"/>
        <v>0</v>
      </c>
      <c r="J205" s="330" t="str">
        <f t="shared" si="39"/>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40"/>
        <v>0</v>
      </c>
      <c r="J206" s="330" t="str">
        <f t="shared" si="39"/>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2">SUM(C208:C217)</f>
        <v>155921670.60000002</v>
      </c>
      <c r="D207" s="444">
        <f t="shared" si="42"/>
        <v>200548950.39124021</v>
      </c>
      <c r="E207" s="441">
        <f t="shared" si="42"/>
        <v>215358953.39108872</v>
      </c>
      <c r="F207" s="443">
        <f t="shared" si="42"/>
        <v>27484185.159999996</v>
      </c>
      <c r="G207" s="441">
        <f t="shared" si="42"/>
        <v>163171630.98000002</v>
      </c>
      <c r="H207" s="443">
        <f t="shared" si="42"/>
        <v>215358953.39108869</v>
      </c>
      <c r="I207" s="44">
        <f t="shared" si="40"/>
        <v>-52187322.411088675</v>
      </c>
      <c r="J207" s="330">
        <f t="shared" si="39"/>
        <v>-0.24232715468447352</v>
      </c>
      <c r="K207" s="442">
        <f t="shared" si="42"/>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74348104.300000012</v>
      </c>
      <c r="D208" s="383">
        <v>37102233.058023594</v>
      </c>
      <c r="E208" s="384">
        <v>46529040.057872109</v>
      </c>
      <c r="F208" s="472">
        <v>8566592.5399999991</v>
      </c>
      <c r="G208" s="384">
        <v>72115996.920000017</v>
      </c>
      <c r="H208" s="472">
        <f t="shared" ref="H208:H212" si="43">E208/12*12</f>
        <v>46529040.057872109</v>
      </c>
      <c r="I208" s="44">
        <f t="shared" si="40"/>
        <v>25586956.862127908</v>
      </c>
      <c r="J208" s="330">
        <f t="shared" si="39"/>
        <v>0.54991370615648294</v>
      </c>
      <c r="K208" s="395">
        <f t="shared" ref="K208:K212" si="44">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32974505.649999999</v>
      </c>
      <c r="D209" s="383">
        <v>4306177.4291027384</v>
      </c>
      <c r="E209" s="384">
        <v>10907655.429102737</v>
      </c>
      <c r="F209" s="472">
        <v>2923506.35</v>
      </c>
      <c r="G209" s="384">
        <v>35273276.609999999</v>
      </c>
      <c r="H209" s="472">
        <f t="shared" si="43"/>
        <v>10907655.429102737</v>
      </c>
      <c r="I209" s="44">
        <f t="shared" si="40"/>
        <v>24365621.180897262</v>
      </c>
      <c r="J209" s="330">
        <f t="shared" si="39"/>
        <v>2.2338092121875524</v>
      </c>
      <c r="K209" s="395">
        <f t="shared" si="44"/>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14770253.189999998</v>
      </c>
      <c r="D210" s="383">
        <v>117626955.29173322</v>
      </c>
      <c r="E210" s="384">
        <v>117098160.29173322</v>
      </c>
      <c r="F210" s="472">
        <v>1619095.3199999998</v>
      </c>
      <c r="G210" s="384">
        <v>13346093.58</v>
      </c>
      <c r="H210" s="472">
        <f t="shared" si="43"/>
        <v>117098160.29173321</v>
      </c>
      <c r="I210" s="44">
        <f t="shared" si="40"/>
        <v>-103752066.71173321</v>
      </c>
      <c r="J210" s="330">
        <f t="shared" si="39"/>
        <v>-0.886026445276765</v>
      </c>
      <c r="K210" s="395">
        <f t="shared" si="44"/>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24768759.659999996</v>
      </c>
      <c r="D211" s="383">
        <v>30502399.44295308</v>
      </c>
      <c r="E211" s="384">
        <v>29996912.44295308</v>
      </c>
      <c r="F211" s="472">
        <v>2041442.26</v>
      </c>
      <c r="G211" s="384">
        <v>23543072.379999995</v>
      </c>
      <c r="H211" s="472">
        <f t="shared" si="43"/>
        <v>29996912.44295308</v>
      </c>
      <c r="I211" s="44">
        <f t="shared" si="40"/>
        <v>-6453840.0629530847</v>
      </c>
      <c r="J211" s="330">
        <f t="shared" si="39"/>
        <v>-0.21515014504331864</v>
      </c>
      <c r="K211" s="395">
        <f t="shared" si="44"/>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9060047.8000000026</v>
      </c>
      <c r="D212" s="383">
        <v>11011185.169427564</v>
      </c>
      <c r="E212" s="384">
        <v>10827185.169427564</v>
      </c>
      <c r="F212" s="472">
        <v>12333548.689999999</v>
      </c>
      <c r="G212" s="384">
        <v>18893191.489999998</v>
      </c>
      <c r="H212" s="472">
        <f t="shared" si="43"/>
        <v>10827185.169427564</v>
      </c>
      <c r="I212" s="44">
        <f t="shared" si="40"/>
        <v>8066006.320572434</v>
      </c>
      <c r="J212" s="330">
        <f t="shared" si="39"/>
        <v>0.74497722116623644</v>
      </c>
      <c r="K212" s="395">
        <f t="shared" si="44"/>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40"/>
        <v>0</v>
      </c>
      <c r="J213" s="330" t="str">
        <f t="shared" si="39"/>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40"/>
        <v>0</v>
      </c>
      <c r="J214" s="330" t="str">
        <f t="shared" si="39"/>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40"/>
        <v>0</v>
      </c>
      <c r="J215" s="330" t="str">
        <f t="shared" si="39"/>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40"/>
        <v>0</v>
      </c>
      <c r="J216" s="330" t="str">
        <f t="shared" si="39"/>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40"/>
        <v>0</v>
      </c>
      <c r="J217" s="330" t="str">
        <f t="shared" si="39"/>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5">SUM(C219:C228)</f>
        <v>3776349725.2899971</v>
      </c>
      <c r="D218" s="444">
        <f t="shared" si="45"/>
        <v>3393288719.277081</v>
      </c>
      <c r="E218" s="441">
        <f t="shared" si="45"/>
        <v>3407283654.0811782</v>
      </c>
      <c r="F218" s="443">
        <f t="shared" si="45"/>
        <v>430684744.05000007</v>
      </c>
      <c r="G218" s="441">
        <f t="shared" si="45"/>
        <v>3620092253.7599993</v>
      </c>
      <c r="H218" s="443">
        <f t="shared" si="45"/>
        <v>3407283654.0811782</v>
      </c>
      <c r="I218" s="44">
        <f t="shared" si="40"/>
        <v>212808599.67882109</v>
      </c>
      <c r="J218" s="330">
        <f t="shared" si="39"/>
        <v>6.2456966100818488E-2</v>
      </c>
      <c r="K218" s="442">
        <f t="shared" si="45"/>
        <v>3407283654.0811782</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2085365057.7099984</v>
      </c>
      <c r="D219" s="383">
        <v>1955147194.4755206</v>
      </c>
      <c r="E219" s="384">
        <v>1869342699.4755206</v>
      </c>
      <c r="F219" s="472">
        <v>283473727.85000008</v>
      </c>
      <c r="G219" s="384">
        <v>2190262876.7999997</v>
      </c>
      <c r="H219" s="472">
        <f t="shared" ref="H219:H223" si="46">E219/12*12</f>
        <v>1869342699.4755206</v>
      </c>
      <c r="I219" s="44">
        <f t="shared" si="40"/>
        <v>320920177.3244791</v>
      </c>
      <c r="J219" s="330">
        <f t="shared" si="39"/>
        <v>0.17167541158425328</v>
      </c>
      <c r="K219" s="395">
        <f t="shared" ref="K219:K223" si="47">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12573127.24</v>
      </c>
      <c r="D220" s="383">
        <v>56522646.802353732</v>
      </c>
      <c r="E220" s="384">
        <v>56522646.802353732</v>
      </c>
      <c r="F220" s="472">
        <v>738247.21999999986</v>
      </c>
      <c r="G220" s="384">
        <v>13206675.48</v>
      </c>
      <c r="H220" s="472">
        <f t="shared" si="46"/>
        <v>56522646.80235374</v>
      </c>
      <c r="I220" s="44">
        <f t="shared" si="40"/>
        <v>-43315971.322353736</v>
      </c>
      <c r="J220" s="330">
        <f t="shared" si="39"/>
        <v>-0.76634718600173468</v>
      </c>
      <c r="K220" s="395">
        <f t="shared" si="47"/>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246514483.81000003</v>
      </c>
      <c r="D221" s="383">
        <v>94562737.919352904</v>
      </c>
      <c r="E221" s="384">
        <v>99518846.953450099</v>
      </c>
      <c r="F221" s="472">
        <v>21789783.969999999</v>
      </c>
      <c r="G221" s="384">
        <v>259232707.60999987</v>
      </c>
      <c r="H221" s="472">
        <f t="shared" si="46"/>
        <v>99518846.953450099</v>
      </c>
      <c r="I221" s="44">
        <f t="shared" si="40"/>
        <v>159713860.65654975</v>
      </c>
      <c r="J221" s="330">
        <f t="shared" si="39"/>
        <v>1.6048604414725167</v>
      </c>
      <c r="K221" s="395">
        <f t="shared" si="47"/>
        <v>99518846.953450099</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1430828772.6499984</v>
      </c>
      <c r="D222" s="383">
        <v>1266789806.54597</v>
      </c>
      <c r="E222" s="384">
        <v>1361654155.3159699</v>
      </c>
      <c r="F222" s="472">
        <v>124470370.99000001</v>
      </c>
      <c r="G222" s="384">
        <v>1155406552.9899998</v>
      </c>
      <c r="H222" s="472">
        <f t="shared" si="46"/>
        <v>1361654155.3159699</v>
      </c>
      <c r="I222" s="44">
        <f t="shared" si="40"/>
        <v>-206247602.32597017</v>
      </c>
      <c r="J222" s="330">
        <f t="shared" si="39"/>
        <v>-0.15146841914356052</v>
      </c>
      <c r="K222" s="395">
        <f t="shared" si="47"/>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1068283.8799999999</v>
      </c>
      <c r="D223" s="383">
        <v>20266333.533883527</v>
      </c>
      <c r="E223" s="384">
        <v>20245305.533883527</v>
      </c>
      <c r="F223" s="472">
        <v>212614.02000000005</v>
      </c>
      <c r="G223" s="384">
        <v>1983440.8800000001</v>
      </c>
      <c r="H223" s="472">
        <f t="shared" si="46"/>
        <v>20245305.533883527</v>
      </c>
      <c r="I223" s="44">
        <f t="shared" si="40"/>
        <v>-18261864.653883528</v>
      </c>
      <c r="J223" s="330">
        <f t="shared" si="39"/>
        <v>-0.90202959018423234</v>
      </c>
      <c r="K223" s="395">
        <f t="shared" si="47"/>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40"/>
        <v>0</v>
      </c>
      <c r="J224" s="330" t="str">
        <f t="shared" si="39"/>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40"/>
        <v>0</v>
      </c>
      <c r="J225" s="330" t="str">
        <f t="shared" si="39"/>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40"/>
        <v>0</v>
      </c>
      <c r="J226" s="330" t="str">
        <f t="shared" si="39"/>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40"/>
        <v>0</v>
      </c>
      <c r="J227" s="330" t="str">
        <f t="shared" si="39"/>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40"/>
        <v>0</v>
      </c>
      <c r="J228" s="330" t="str">
        <f t="shared" si="39"/>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8">SUM(C230:C239)</f>
        <v>253921598.99000007</v>
      </c>
      <c r="D229" s="444">
        <f t="shared" si="48"/>
        <v>296205168.59786338</v>
      </c>
      <c r="E229" s="441">
        <f t="shared" si="48"/>
        <v>388790375.15482336</v>
      </c>
      <c r="F229" s="443">
        <f t="shared" si="48"/>
        <v>24989035.680000003</v>
      </c>
      <c r="G229" s="441">
        <f t="shared" si="48"/>
        <v>232548760.91</v>
      </c>
      <c r="H229" s="443">
        <f t="shared" si="48"/>
        <v>388790375.15482336</v>
      </c>
      <c r="I229" s="44">
        <f t="shared" si="40"/>
        <v>-156241614.24482337</v>
      </c>
      <c r="J229" s="330">
        <f t="shared" si="39"/>
        <v>-0.40186595201232833</v>
      </c>
      <c r="K229" s="442">
        <f t="shared" si="48"/>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90863518.310000032</v>
      </c>
      <c r="D230" s="383">
        <v>296205168.59786338</v>
      </c>
      <c r="E230" s="384">
        <v>330062570.15482336</v>
      </c>
      <c r="F230" s="472">
        <v>7356756.0699999994</v>
      </c>
      <c r="G230" s="384">
        <v>76548382.909999996</v>
      </c>
      <c r="H230" s="472">
        <f>E230/12*12</f>
        <v>330062570.15482336</v>
      </c>
      <c r="I230" s="44">
        <f t="shared" si="40"/>
        <v>-253514187.24482337</v>
      </c>
      <c r="J230" s="330">
        <f t="shared" si="39"/>
        <v>-0.76807917700545925</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16556686.570000006</v>
      </c>
      <c r="D231" s="383"/>
      <c r="E231" s="384">
        <v>0</v>
      </c>
      <c r="F231" s="472">
        <v>1229004.3099999998</v>
      </c>
      <c r="G231" s="384">
        <v>10982868.15</v>
      </c>
      <c r="H231" s="742"/>
      <c r="I231" s="44">
        <f t="shared" si="40"/>
        <v>10982868.15</v>
      </c>
      <c r="J231" s="330" t="e">
        <f t="shared" si="39"/>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58249918.80999998</v>
      </c>
      <c r="D232" s="383"/>
      <c r="E232" s="384">
        <v>56980067</v>
      </c>
      <c r="F232" s="472">
        <v>5439972.4600000018</v>
      </c>
      <c r="G232" s="384">
        <v>60985758.170000002</v>
      </c>
      <c r="H232" s="742">
        <f t="shared" ref="H232:H233" si="49">E232/12*12</f>
        <v>56980067</v>
      </c>
      <c r="I232" s="44">
        <f t="shared" si="40"/>
        <v>4005691.1700000018</v>
      </c>
      <c r="J232" s="330">
        <f t="shared" si="39"/>
        <v>7.0299867671268307E-2</v>
      </c>
      <c r="K232" s="395">
        <f t="shared" ref="K232:K233" si="50">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87440226.380000055</v>
      </c>
      <c r="D233" s="383"/>
      <c r="E233" s="384">
        <v>1747738</v>
      </c>
      <c r="F233" s="472">
        <v>9778890.5099999998</v>
      </c>
      <c r="G233" s="384">
        <v>81076107.379999965</v>
      </c>
      <c r="H233" s="742">
        <f t="shared" si="49"/>
        <v>1747738</v>
      </c>
      <c r="I233" s="44">
        <f t="shared" si="40"/>
        <v>79328369.379999965</v>
      </c>
      <c r="J233" s="330">
        <f t="shared" si="39"/>
        <v>45.389165527098434</v>
      </c>
      <c r="K233" s="395">
        <f t="shared" si="50"/>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v>811248.91999999981</v>
      </c>
      <c r="D234" s="383"/>
      <c r="E234" s="384"/>
      <c r="F234" s="472">
        <v>1184412.3300000003</v>
      </c>
      <c r="G234" s="384">
        <v>2955644.3000000003</v>
      </c>
      <c r="H234" s="742"/>
      <c r="I234" s="44">
        <f t="shared" si="40"/>
        <v>2955644.3000000003</v>
      </c>
      <c r="J234" s="330" t="e">
        <f t="shared" si="39"/>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40"/>
        <v>0</v>
      </c>
      <c r="J235" s="330" t="str">
        <f t="shared" si="39"/>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40"/>
        <v>0</v>
      </c>
      <c r="J236" s="330" t="str">
        <f t="shared" si="39"/>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40"/>
        <v>0</v>
      </c>
      <c r="J237" s="330" t="str">
        <f t="shared" si="39"/>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40"/>
        <v>0</v>
      </c>
      <c r="J238" s="330" t="str">
        <f t="shared" si="39"/>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40"/>
        <v>0</v>
      </c>
      <c r="J239" s="330" t="str">
        <f t="shared" si="39"/>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51">SUM(C241:C250)</f>
        <v>0</v>
      </c>
      <c r="D240" s="444">
        <f t="shared" si="51"/>
        <v>0</v>
      </c>
      <c r="E240" s="441">
        <f t="shared" si="51"/>
        <v>0</v>
      </c>
      <c r="F240" s="443">
        <f t="shared" si="51"/>
        <v>0</v>
      </c>
      <c r="G240" s="441">
        <f t="shared" si="51"/>
        <v>0</v>
      </c>
      <c r="H240" s="443">
        <f t="shared" si="51"/>
        <v>0</v>
      </c>
      <c r="I240" s="44">
        <f t="shared" si="40"/>
        <v>0</v>
      </c>
      <c r="J240" s="330" t="str">
        <f t="shared" si="39"/>
        <v/>
      </c>
      <c r="K240" s="442">
        <f t="shared" si="5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40"/>
        <v>0</v>
      </c>
      <c r="J241" s="330" t="str">
        <f t="shared" si="39"/>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40"/>
        <v>0</v>
      </c>
      <c r="J242" s="330" t="str">
        <f t="shared" si="39"/>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40"/>
        <v>0</v>
      </c>
      <c r="J243" s="330" t="str">
        <f t="shared" si="39"/>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40"/>
        <v>0</v>
      </c>
      <c r="J244" s="330" t="str">
        <f t="shared" si="39"/>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40"/>
        <v>0</v>
      </c>
      <c r="J245" s="330" t="str">
        <f t="shared" si="39"/>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40"/>
        <v>0</v>
      </c>
      <c r="J246" s="330" t="str">
        <f t="shared" si="39"/>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40"/>
        <v>0</v>
      </c>
      <c r="J247" s="330" t="str">
        <f t="shared" si="39"/>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40"/>
        <v>0</v>
      </c>
      <c r="J248" s="330" t="str">
        <f t="shared" si="39"/>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40"/>
        <v>0</v>
      </c>
      <c r="J249" s="330" t="str">
        <f t="shared" si="39"/>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40"/>
        <v>0</v>
      </c>
      <c r="J250" s="330" t="str">
        <f t="shared" si="39"/>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52">SUM(C252:C261)</f>
        <v>0</v>
      </c>
      <c r="D251" s="444">
        <f t="shared" si="52"/>
        <v>0</v>
      </c>
      <c r="E251" s="441">
        <f t="shared" si="52"/>
        <v>0</v>
      </c>
      <c r="F251" s="443">
        <f t="shared" si="52"/>
        <v>0</v>
      </c>
      <c r="G251" s="441">
        <f t="shared" si="52"/>
        <v>0</v>
      </c>
      <c r="H251" s="443">
        <f t="shared" si="52"/>
        <v>0</v>
      </c>
      <c r="I251" s="44">
        <f t="shared" si="40"/>
        <v>0</v>
      </c>
      <c r="J251" s="330" t="str">
        <f t="shared" si="39"/>
        <v/>
      </c>
      <c r="K251" s="442">
        <f t="shared" si="5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40"/>
        <v>0</v>
      </c>
      <c r="J252" s="330" t="str">
        <f t="shared" si="39"/>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40"/>
        <v>0</v>
      </c>
      <c r="J253" s="330" t="str">
        <f t="shared" si="39"/>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40"/>
        <v>0</v>
      </c>
      <c r="J254" s="330" t="str">
        <f t="shared" si="39"/>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40"/>
        <v>0</v>
      </c>
      <c r="J255" s="330" t="str">
        <f t="shared" si="39"/>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40"/>
        <v>0</v>
      </c>
      <c r="J256" s="330" t="str">
        <f t="shared" si="39"/>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40"/>
        <v>0</v>
      </c>
      <c r="J257" s="330" t="str">
        <f t="shared" si="39"/>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40"/>
        <v>0</v>
      </c>
      <c r="J258" s="330" t="str">
        <f t="shared" si="39"/>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40"/>
        <v>0</v>
      </c>
      <c r="J259" s="330" t="str">
        <f t="shared" si="39"/>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40"/>
        <v>0</v>
      </c>
      <c r="J260" s="330" t="str">
        <f t="shared" si="39"/>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40"/>
        <v>0</v>
      </c>
      <c r="J261" s="330" t="str">
        <f t="shared" si="39"/>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53">SUM(C263:C272)</f>
        <v>0</v>
      </c>
      <c r="D262" s="444">
        <f t="shared" si="53"/>
        <v>0</v>
      </c>
      <c r="E262" s="441">
        <f t="shared" si="53"/>
        <v>0</v>
      </c>
      <c r="F262" s="443">
        <f t="shared" si="53"/>
        <v>0</v>
      </c>
      <c r="G262" s="441">
        <f t="shared" si="53"/>
        <v>0</v>
      </c>
      <c r="H262" s="443">
        <f t="shared" si="53"/>
        <v>0</v>
      </c>
      <c r="I262" s="44">
        <f t="shared" ref="I262:I325" si="54">G262-H262</f>
        <v>0</v>
      </c>
      <c r="J262" s="330" t="str">
        <f t="shared" ref="J262:J325" si="55">IF(I262=0,"",I262/H262)</f>
        <v/>
      </c>
      <c r="K262" s="442">
        <f t="shared" si="5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4"/>
        <v>0</v>
      </c>
      <c r="J263" s="330" t="str">
        <f t="shared" si="5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4"/>
        <v>0</v>
      </c>
      <c r="J264" s="330" t="str">
        <f t="shared" si="5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4"/>
        <v>0</v>
      </c>
      <c r="J265" s="330" t="str">
        <f t="shared" si="5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4"/>
        <v>0</v>
      </c>
      <c r="J266" s="330" t="str">
        <f t="shared" si="5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4"/>
        <v>0</v>
      </c>
      <c r="J267" s="330" t="str">
        <f t="shared" si="5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4"/>
        <v>0</v>
      </c>
      <c r="J268" s="330" t="str">
        <f t="shared" si="5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4"/>
        <v>0</v>
      </c>
      <c r="J269" s="330" t="str">
        <f t="shared" si="5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4"/>
        <v>0</v>
      </c>
      <c r="J270" s="330" t="str">
        <f t="shared" si="5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4"/>
        <v>0</v>
      </c>
      <c r="J271" s="330" t="str">
        <f t="shared" si="5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4"/>
        <v>0</v>
      </c>
      <c r="J272" s="330" t="str">
        <f t="shared" si="5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6">SUM(C274:C283)</f>
        <v>0</v>
      </c>
      <c r="D273" s="444">
        <f t="shared" si="56"/>
        <v>0</v>
      </c>
      <c r="E273" s="441">
        <f t="shared" si="56"/>
        <v>0</v>
      </c>
      <c r="F273" s="443">
        <f t="shared" si="56"/>
        <v>0</v>
      </c>
      <c r="G273" s="441">
        <f t="shared" si="56"/>
        <v>0</v>
      </c>
      <c r="H273" s="443">
        <f t="shared" si="56"/>
        <v>0</v>
      </c>
      <c r="I273" s="44">
        <f t="shared" si="54"/>
        <v>0</v>
      </c>
      <c r="J273" s="330" t="str">
        <f t="shared" si="55"/>
        <v/>
      </c>
      <c r="K273" s="442">
        <f t="shared" si="5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4"/>
        <v>0</v>
      </c>
      <c r="J274" s="330" t="str">
        <f t="shared" si="5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4"/>
        <v>0</v>
      </c>
      <c r="J275" s="330" t="str">
        <f t="shared" si="5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4"/>
        <v>0</v>
      </c>
      <c r="J276" s="330" t="str">
        <f t="shared" si="5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4"/>
        <v>0</v>
      </c>
      <c r="J277" s="330" t="str">
        <f t="shared" si="5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4"/>
        <v>0</v>
      </c>
      <c r="J278" s="330" t="str">
        <f t="shared" si="5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4"/>
        <v>0</v>
      </c>
      <c r="J279" s="330" t="str">
        <f t="shared" si="5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4"/>
        <v>0</v>
      </c>
      <c r="J280" s="330" t="str">
        <f t="shared" si="5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4"/>
        <v>0</v>
      </c>
      <c r="J281" s="330" t="str">
        <f t="shared" si="5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4"/>
        <v>0</v>
      </c>
      <c r="J282" s="330" t="str">
        <f t="shared" si="5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4"/>
        <v>0</v>
      </c>
      <c r="J283" s="330" t="str">
        <f t="shared" si="5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7">SUM(C285:C294)</f>
        <v>0</v>
      </c>
      <c r="D284" s="444">
        <f t="shared" si="57"/>
        <v>0</v>
      </c>
      <c r="E284" s="441">
        <f t="shared" si="57"/>
        <v>0</v>
      </c>
      <c r="F284" s="443">
        <f t="shared" si="57"/>
        <v>0</v>
      </c>
      <c r="G284" s="441">
        <f t="shared" si="57"/>
        <v>0</v>
      </c>
      <c r="H284" s="443">
        <f t="shared" si="57"/>
        <v>0</v>
      </c>
      <c r="I284" s="44">
        <f t="shared" si="54"/>
        <v>0</v>
      </c>
      <c r="J284" s="330" t="str">
        <f t="shared" si="55"/>
        <v/>
      </c>
      <c r="K284" s="442">
        <f t="shared" si="5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4"/>
        <v>0</v>
      </c>
      <c r="J285" s="330" t="str">
        <f t="shared" si="5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4"/>
        <v>0</v>
      </c>
      <c r="J286" s="330" t="str">
        <f t="shared" si="5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4"/>
        <v>0</v>
      </c>
      <c r="J287" s="330" t="str">
        <f t="shared" si="5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4"/>
        <v>0</v>
      </c>
      <c r="J288" s="330" t="str">
        <f t="shared" si="5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4"/>
        <v>0</v>
      </c>
      <c r="J289" s="330" t="str">
        <f t="shared" si="5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4"/>
        <v>0</v>
      </c>
      <c r="J290" s="330" t="str">
        <f t="shared" si="5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4"/>
        <v>0</v>
      </c>
      <c r="J291" s="330" t="str">
        <f t="shared" si="5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4"/>
        <v>0</v>
      </c>
      <c r="J292" s="330" t="str">
        <f t="shared" si="5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4"/>
        <v>0</v>
      </c>
      <c r="J293" s="330" t="str">
        <f t="shared" si="5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4"/>
        <v>0</v>
      </c>
      <c r="J294" s="330" t="str">
        <f t="shared" si="5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8">SUM(C296:C305)</f>
        <v>0</v>
      </c>
      <c r="D295" s="444">
        <f t="shared" si="58"/>
        <v>0</v>
      </c>
      <c r="E295" s="441">
        <f t="shared" si="58"/>
        <v>0</v>
      </c>
      <c r="F295" s="443">
        <f t="shared" si="58"/>
        <v>0</v>
      </c>
      <c r="G295" s="441">
        <f t="shared" si="58"/>
        <v>0</v>
      </c>
      <c r="H295" s="443">
        <f t="shared" si="58"/>
        <v>0</v>
      </c>
      <c r="I295" s="44">
        <f t="shared" si="54"/>
        <v>0</v>
      </c>
      <c r="J295" s="330" t="str">
        <f t="shared" si="55"/>
        <v/>
      </c>
      <c r="K295" s="442">
        <f t="shared" si="5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4"/>
        <v>0</v>
      </c>
      <c r="J296" s="330" t="str">
        <f t="shared" si="5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4"/>
        <v>0</v>
      </c>
      <c r="J297" s="330" t="str">
        <f t="shared" si="5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4"/>
        <v>0</v>
      </c>
      <c r="J298" s="330" t="str">
        <f t="shared" si="5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4"/>
        <v>0</v>
      </c>
      <c r="J299" s="330" t="str">
        <f t="shared" si="5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4"/>
        <v>0</v>
      </c>
      <c r="J300" s="330" t="str">
        <f t="shared" si="5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4"/>
        <v>0</v>
      </c>
      <c r="J301" s="330" t="str">
        <f t="shared" si="5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4"/>
        <v>0</v>
      </c>
      <c r="J302" s="330" t="str">
        <f t="shared" si="5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4"/>
        <v>0</v>
      </c>
      <c r="J303" s="330" t="str">
        <f t="shared" si="5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4"/>
        <v>0</v>
      </c>
      <c r="J304" s="330" t="str">
        <f t="shared" si="5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4"/>
        <v>0</v>
      </c>
      <c r="J305" s="330" t="str">
        <f t="shared" si="5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9">SUM(C307:C316)</f>
        <v>0</v>
      </c>
      <c r="D306" s="444">
        <f t="shared" si="59"/>
        <v>0</v>
      </c>
      <c r="E306" s="441">
        <f t="shared" si="59"/>
        <v>0</v>
      </c>
      <c r="F306" s="443">
        <f t="shared" si="59"/>
        <v>0</v>
      </c>
      <c r="G306" s="441">
        <f t="shared" si="59"/>
        <v>0</v>
      </c>
      <c r="H306" s="443">
        <f t="shared" si="59"/>
        <v>0</v>
      </c>
      <c r="I306" s="44">
        <f t="shared" si="54"/>
        <v>0</v>
      </c>
      <c r="J306" s="330" t="str">
        <f t="shared" si="55"/>
        <v/>
      </c>
      <c r="K306" s="442">
        <f t="shared" si="5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60">SUM(C318:C327)</f>
        <v>0</v>
      </c>
      <c r="D317" s="444">
        <f t="shared" si="60"/>
        <v>0</v>
      </c>
      <c r="E317" s="441">
        <f t="shared" si="60"/>
        <v>0</v>
      </c>
      <c r="F317" s="443">
        <f t="shared" si="60"/>
        <v>0</v>
      </c>
      <c r="G317" s="441">
        <f t="shared" si="60"/>
        <v>0</v>
      </c>
      <c r="H317" s="443">
        <f t="shared" si="60"/>
        <v>0</v>
      </c>
      <c r="I317" s="44">
        <f t="shared" si="54"/>
        <v>0</v>
      </c>
      <c r="J317" s="330" t="str">
        <f t="shared" si="55"/>
        <v/>
      </c>
      <c r="K317" s="442">
        <f t="shared" si="6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61">G326-H326</f>
        <v>0</v>
      </c>
      <c r="J326" s="330" t="str">
        <f t="shared" ref="J326:J341" si="6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61"/>
        <v>0</v>
      </c>
      <c r="J327" s="330" t="str">
        <f t="shared" si="6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63">SUM(C329:C338)</f>
        <v>0</v>
      </c>
      <c r="D328" s="444">
        <f t="shared" si="63"/>
        <v>0</v>
      </c>
      <c r="E328" s="441">
        <f t="shared" si="63"/>
        <v>0</v>
      </c>
      <c r="F328" s="443">
        <f t="shared" si="63"/>
        <v>0</v>
      </c>
      <c r="G328" s="441">
        <f t="shared" si="63"/>
        <v>0</v>
      </c>
      <c r="H328" s="443">
        <f t="shared" si="63"/>
        <v>0</v>
      </c>
      <c r="I328" s="44">
        <f t="shared" si="61"/>
        <v>0</v>
      </c>
      <c r="J328" s="330" t="str">
        <f t="shared" si="62"/>
        <v/>
      </c>
      <c r="K328" s="442">
        <f t="shared" si="6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61"/>
        <v>0</v>
      </c>
      <c r="J329" s="330" t="str">
        <f t="shared" si="6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61"/>
        <v>0</v>
      </c>
      <c r="J330" s="330" t="str">
        <f t="shared" si="6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61"/>
        <v>0</v>
      </c>
      <c r="J331" s="330" t="str">
        <f t="shared" si="6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61"/>
        <v>0</v>
      </c>
      <c r="J332" s="330" t="str">
        <f t="shared" si="6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61"/>
        <v>0</v>
      </c>
      <c r="J333" s="330" t="str">
        <f t="shared" si="6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61"/>
        <v>0</v>
      </c>
      <c r="J334" s="330" t="str">
        <f t="shared" si="6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61"/>
        <v>0</v>
      </c>
      <c r="J335" s="330" t="str">
        <f t="shared" si="6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61"/>
        <v>0</v>
      </c>
      <c r="J336" s="330" t="str">
        <f t="shared" si="6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61"/>
        <v>0</v>
      </c>
      <c r="J337" s="330" t="str">
        <f t="shared" si="6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61"/>
        <v>0</v>
      </c>
      <c r="J338" s="330" t="str">
        <f t="shared" si="62"/>
        <v/>
      </c>
      <c r="K338" s="395"/>
      <c r="L338" s="452">
        <f t="shared" ref="L338:W338" si="64">SUM(L173:L249)</f>
        <v>0</v>
      </c>
      <c r="M338" s="453">
        <f t="shared" si="64"/>
        <v>0</v>
      </c>
      <c r="N338" s="453">
        <f t="shared" si="64"/>
        <v>0</v>
      </c>
      <c r="O338" s="453">
        <f t="shared" si="64"/>
        <v>0</v>
      </c>
      <c r="P338" s="453">
        <f t="shared" si="64"/>
        <v>0</v>
      </c>
      <c r="Q338" s="453">
        <f t="shared" si="64"/>
        <v>0</v>
      </c>
      <c r="R338" s="453">
        <f t="shared" si="64"/>
        <v>0</v>
      </c>
      <c r="S338" s="453">
        <f t="shared" si="64"/>
        <v>0</v>
      </c>
      <c r="T338" s="453">
        <f t="shared" si="64"/>
        <v>0</v>
      </c>
      <c r="U338" s="453">
        <f t="shared" si="64"/>
        <v>0</v>
      </c>
      <c r="V338" s="453">
        <f t="shared" si="64"/>
        <v>0</v>
      </c>
      <c r="W338" s="453">
        <f t="shared" si="64"/>
        <v>0</v>
      </c>
    </row>
    <row r="339" spans="1:24" ht="12.75" customHeight="1" x14ac:dyDescent="0.25">
      <c r="A339" s="447" t="s">
        <v>634</v>
      </c>
      <c r="B339" s="445">
        <v>2</v>
      </c>
      <c r="C339" s="508">
        <f t="shared" ref="C339:H339" si="65">C174+C185+C196+C207+C218+C229+C240+C251+C262++C273+C284+C295+C306+C317+C328</f>
        <v>5566648837.5499973</v>
      </c>
      <c r="D339" s="475">
        <f t="shared" si="65"/>
        <v>5516477469.544631</v>
      </c>
      <c r="E339" s="430">
        <f t="shared" si="65"/>
        <v>5673151026.6970739</v>
      </c>
      <c r="F339" s="474">
        <f t="shared" si="65"/>
        <v>957176296.24999988</v>
      </c>
      <c r="G339" s="430">
        <f t="shared" si="65"/>
        <v>5772043430.7099991</v>
      </c>
      <c r="H339" s="474">
        <f t="shared" si="65"/>
        <v>5673151026.6970739</v>
      </c>
      <c r="I339" s="430">
        <f t="shared" si="61"/>
        <v>98892404.012925148</v>
      </c>
      <c r="J339" s="430">
        <f t="shared" si="62"/>
        <v>1.7431653687263217E-2</v>
      </c>
      <c r="K339" s="513">
        <f>K174+K185+K196+K207+K218+K229+K240+K251+K262++K273+K284+K295+K306+K317+K328</f>
        <v>5673151026.6970739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1"/>
        <v>0</v>
      </c>
      <c r="J340" s="50" t="str">
        <f t="shared" si="62"/>
        <v/>
      </c>
      <c r="K340" s="194"/>
      <c r="L340" s="480">
        <f t="shared" ref="L340:W340" si="66">L170-L338</f>
        <v>0</v>
      </c>
      <c r="M340" s="481">
        <f t="shared" si="66"/>
        <v>0</v>
      </c>
      <c r="N340" s="481">
        <f t="shared" si="66"/>
        <v>0</v>
      </c>
      <c r="O340" s="481">
        <f t="shared" si="66"/>
        <v>0</v>
      </c>
      <c r="P340" s="481">
        <f t="shared" si="66"/>
        <v>0</v>
      </c>
      <c r="Q340" s="481">
        <f t="shared" si="66"/>
        <v>0</v>
      </c>
      <c r="R340" s="481">
        <f t="shared" si="66"/>
        <v>0</v>
      </c>
      <c r="S340" s="481">
        <f t="shared" si="66"/>
        <v>0</v>
      </c>
      <c r="T340" s="481">
        <f t="shared" si="66"/>
        <v>0</v>
      </c>
      <c r="U340" s="481">
        <f t="shared" si="66"/>
        <v>0</v>
      </c>
      <c r="V340" s="481">
        <f t="shared" si="66"/>
        <v>0</v>
      </c>
      <c r="W340" s="481">
        <f t="shared" si="66"/>
        <v>0</v>
      </c>
    </row>
    <row r="341" spans="1:24" s="486" customFormat="1" ht="11.25" customHeight="1" thickTop="1" x14ac:dyDescent="0.25">
      <c r="A341" s="886" t="str">
        <f>result</f>
        <v>Surplus/ (Deficit) for the year</v>
      </c>
      <c r="B341" s="477">
        <v>2</v>
      </c>
      <c r="C341" s="509">
        <f t="shared" ref="C341:H341" si="67">C171-C339</f>
        <v>223395112.45000267</v>
      </c>
      <c r="D341" s="512">
        <f t="shared" si="67"/>
        <v>927224369.32743359</v>
      </c>
      <c r="E341" s="55">
        <f t="shared" si="67"/>
        <v>921771505.17499065</v>
      </c>
      <c r="F341" s="479">
        <f t="shared" si="67"/>
        <v>-369620363.41999984</v>
      </c>
      <c r="G341" s="55">
        <f t="shared" si="67"/>
        <v>388440905.75</v>
      </c>
      <c r="H341" s="479">
        <f t="shared" si="67"/>
        <v>921771505.17499065</v>
      </c>
      <c r="I341" s="55">
        <f t="shared" si="61"/>
        <v>-533330599.42499065</v>
      </c>
      <c r="J341" s="55">
        <f t="shared" si="62"/>
        <v>-0.57859306393263077</v>
      </c>
      <c r="K341" s="235">
        <f>K171-K339</f>
        <v>921771505.17499065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 sqref="F196:G19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H32" sqref="H32"/>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"&amp;S71B&amp; " - "&amp;date</f>
        <v>KZN225 Msunduzi - Table C4 Consolidated Monthly Budget Statement - Financial Performance (revenue and expenditure)  - Q4 Fourth Quarter</v>
      </c>
      <c r="B1" s="1056"/>
      <c r="C1" s="1056"/>
      <c r="D1" s="1056"/>
      <c r="E1" s="1056"/>
      <c r="F1" s="1056"/>
      <c r="G1" s="1056"/>
      <c r="H1" s="1056"/>
      <c r="I1" s="1056"/>
      <c r="J1" s="1056"/>
      <c r="K1" s="1056"/>
    </row>
    <row r="2" spans="1:11" x14ac:dyDescent="0.25">
      <c r="A2" s="1045" t="str">
        <f>desc</f>
        <v>Description</v>
      </c>
      <c r="B2" s="1054" t="str">
        <f>head27</f>
        <v>Ref</v>
      </c>
      <c r="C2" s="158" t="str">
        <f>Head1</f>
        <v>2019/20</v>
      </c>
      <c r="D2" s="1040" t="str">
        <f>Head2</f>
        <v>Budget Year 2020/21</v>
      </c>
      <c r="E2" s="1041"/>
      <c r="F2" s="1041"/>
      <c r="G2" s="1041"/>
      <c r="H2" s="1041"/>
      <c r="I2" s="1041"/>
      <c r="J2" s="1041"/>
      <c r="K2" s="1042"/>
    </row>
    <row r="3" spans="1:11" ht="25.5" x14ac:dyDescent="0.25">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v>1177107606</v>
      </c>
      <c r="D6" s="745">
        <v>1269794594.0217998</v>
      </c>
      <c r="E6" s="733">
        <v>1269794594.0217998</v>
      </c>
      <c r="F6" s="733">
        <v>107120092.34</v>
      </c>
      <c r="G6" s="733">
        <v>1208875667.26</v>
      </c>
      <c r="H6" s="733">
        <f t="shared" ref="H6:H9" si="0">E6/12*12</f>
        <v>1269794594.0217998</v>
      </c>
      <c r="I6" s="44">
        <f t="shared" ref="I6:I22" si="1">G6-H6</f>
        <v>-60918926.761799812</v>
      </c>
      <c r="J6" s="330">
        <f t="shared" ref="J6:J22" si="2">IF(I6=0,"",I6/H6)</f>
        <v>-4.7975418267337464E-2</v>
      </c>
      <c r="K6" s="735">
        <f>E6</f>
        <v>1269794594.0217998</v>
      </c>
    </row>
    <row r="7" spans="1:11" ht="11.25" customHeight="1" x14ac:dyDescent="0.25">
      <c r="A7" s="39" t="s">
        <v>834</v>
      </c>
      <c r="B7" s="419"/>
      <c r="C7" s="748">
        <v>2159912320</v>
      </c>
      <c r="D7" s="745">
        <v>2584775677.1378117</v>
      </c>
      <c r="E7" s="733">
        <v>2584775677.1378117</v>
      </c>
      <c r="F7" s="733">
        <v>182743667.75999999</v>
      </c>
      <c r="G7" s="733">
        <v>2287174629</v>
      </c>
      <c r="H7" s="733">
        <f t="shared" si="0"/>
        <v>2584775677.1378117</v>
      </c>
      <c r="I7" s="44">
        <f t="shared" si="1"/>
        <v>-297601048.13781166</v>
      </c>
      <c r="J7" s="330">
        <f t="shared" si="2"/>
        <v>-0.11513612216722532</v>
      </c>
      <c r="K7" s="735">
        <f>E7</f>
        <v>2584775677.1378117</v>
      </c>
    </row>
    <row r="8" spans="1:11" ht="11.25" customHeight="1" x14ac:dyDescent="0.25">
      <c r="A8" s="86" t="s">
        <v>835</v>
      </c>
      <c r="B8" s="421"/>
      <c r="C8" s="748">
        <v>662849315</v>
      </c>
      <c r="D8" s="745">
        <v>722633094.82360029</v>
      </c>
      <c r="E8" s="733">
        <v>722633094.82360029</v>
      </c>
      <c r="F8" s="733">
        <v>62039267.520000003</v>
      </c>
      <c r="G8" s="733">
        <v>763835674.38999999</v>
      </c>
      <c r="H8" s="733">
        <f t="shared" si="0"/>
        <v>722633094.82360029</v>
      </c>
      <c r="I8" s="44">
        <f t="shared" si="1"/>
        <v>41202579.566399693</v>
      </c>
      <c r="J8" s="330">
        <f t="shared" si="2"/>
        <v>5.7017288388179238E-2</v>
      </c>
      <c r="K8" s="735">
        <f>E8</f>
        <v>722633094.82360029</v>
      </c>
    </row>
    <row r="9" spans="1:11" ht="11.25" customHeight="1" x14ac:dyDescent="0.25">
      <c r="A9" s="86" t="s">
        <v>836</v>
      </c>
      <c r="B9" s="421"/>
      <c r="C9" s="748">
        <v>172220501.91999999</v>
      </c>
      <c r="D9" s="745">
        <v>152021749.3608</v>
      </c>
      <c r="E9" s="733">
        <v>152021749.3608</v>
      </c>
      <c r="F9" s="733">
        <v>14304242.300000001</v>
      </c>
      <c r="G9" s="733">
        <v>166098890.36000001</v>
      </c>
      <c r="H9" s="733">
        <f t="shared" si="0"/>
        <v>152021749.3608</v>
      </c>
      <c r="I9" s="44">
        <f t="shared" si="1"/>
        <v>14077140.999200016</v>
      </c>
      <c r="J9" s="330">
        <f t="shared" si="2"/>
        <v>9.2599519860741178E-2</v>
      </c>
      <c r="K9" s="735">
        <f>E9</f>
        <v>152021749.3608</v>
      </c>
    </row>
    <row r="10" spans="1:11" ht="11.25" customHeight="1" x14ac:dyDescent="0.25">
      <c r="A10" s="517" t="s">
        <v>72</v>
      </c>
      <c r="B10" s="421"/>
      <c r="C10" s="748">
        <v>109639121</v>
      </c>
      <c r="D10" s="745">
        <v>116333080.9707</v>
      </c>
      <c r="E10" s="733">
        <v>116333080.9707</v>
      </c>
      <c r="F10" s="733">
        <v>8945493.3699999992</v>
      </c>
      <c r="G10" s="733">
        <v>107024150.66</v>
      </c>
      <c r="H10" s="733">
        <f>E10/12*12</f>
        <v>116333080.9707</v>
      </c>
      <c r="I10" s="44">
        <f t="shared" si="1"/>
        <v>-9308930.3106999993</v>
      </c>
      <c r="J10" s="330">
        <f t="shared" si="2"/>
        <v>-8.0019631845257969E-2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v>43597286</v>
      </c>
      <c r="D12" s="745">
        <v>29078797.626999993</v>
      </c>
      <c r="E12" s="733">
        <v>29078797.626999993</v>
      </c>
      <c r="F12" s="733">
        <v>2044460.1</v>
      </c>
      <c r="G12" s="733">
        <v>14552295.02</v>
      </c>
      <c r="H12" s="733">
        <f t="shared" ref="H12:H14" si="3">E12/12*12</f>
        <v>29078797.626999993</v>
      </c>
      <c r="I12" s="44">
        <f t="shared" si="1"/>
        <v>-14526502.606999993</v>
      </c>
      <c r="J12" s="330">
        <f t="shared" si="2"/>
        <v>-0.49955650826194997</v>
      </c>
      <c r="K12" s="735">
        <f>E12</f>
        <v>29078797.626999993</v>
      </c>
    </row>
    <row r="13" spans="1:11" ht="11.25" customHeight="1" x14ac:dyDescent="0.25">
      <c r="A13" s="86" t="s">
        <v>838</v>
      </c>
      <c r="B13" s="421"/>
      <c r="C13" s="748">
        <v>14116343.539999999</v>
      </c>
      <c r="D13" s="745">
        <v>15260422.42725</v>
      </c>
      <c r="E13" s="733">
        <v>15369322.42725</v>
      </c>
      <c r="F13" s="733">
        <v>1510115.0999999999</v>
      </c>
      <c r="G13" s="733">
        <v>8530436.1999999993</v>
      </c>
      <c r="H13" s="733">
        <f t="shared" si="3"/>
        <v>15369322.427250002</v>
      </c>
      <c r="I13" s="44">
        <f t="shared" si="1"/>
        <v>-6838886.2272500023</v>
      </c>
      <c r="J13" s="330">
        <f t="shared" si="2"/>
        <v>-0.44496992366589766</v>
      </c>
      <c r="K13" s="735">
        <f>E13</f>
        <v>15369322.42725</v>
      </c>
    </row>
    <row r="14" spans="1:11" ht="11.25" customHeight="1" x14ac:dyDescent="0.25">
      <c r="A14" s="86" t="s">
        <v>839</v>
      </c>
      <c r="B14" s="421"/>
      <c r="C14" s="748">
        <v>292253612.14999998</v>
      </c>
      <c r="D14" s="745">
        <v>202457793.88559997</v>
      </c>
      <c r="E14" s="733">
        <v>202457793.88559997</v>
      </c>
      <c r="F14" s="733">
        <v>17925267.699999999</v>
      </c>
      <c r="G14" s="733">
        <v>188464305.28</v>
      </c>
      <c r="H14" s="733">
        <f t="shared" si="3"/>
        <v>202457793.88559997</v>
      </c>
      <c r="I14" s="44">
        <f t="shared" si="1"/>
        <v>-13993488.60559997</v>
      </c>
      <c r="J14" s="330">
        <f t="shared" si="2"/>
        <v>-6.9118053383052658E-2</v>
      </c>
      <c r="K14" s="735">
        <f>E14</f>
        <v>202457793.88559997</v>
      </c>
    </row>
    <row r="15" spans="1:11" ht="11.25" customHeight="1" x14ac:dyDescent="0.25">
      <c r="A15" s="86" t="s">
        <v>921</v>
      </c>
      <c r="B15" s="421"/>
      <c r="C15" s="748"/>
      <c r="D15" s="745"/>
      <c r="E15" s="733">
        <v>0</v>
      </c>
      <c r="F15" s="733"/>
      <c r="G15" s="733"/>
      <c r="H15" s="733"/>
      <c r="I15" s="44">
        <f t="shared" si="1"/>
        <v>0</v>
      </c>
      <c r="J15" s="330" t="str">
        <f t="shared" si="2"/>
        <v/>
      </c>
      <c r="K15" s="735"/>
    </row>
    <row r="16" spans="1:11" ht="11.25" customHeight="1" x14ac:dyDescent="0.25">
      <c r="A16" s="86" t="s">
        <v>1117</v>
      </c>
      <c r="B16" s="421"/>
      <c r="C16" s="748">
        <v>13272582.050000001</v>
      </c>
      <c r="D16" s="745">
        <v>1798551.4436999999</v>
      </c>
      <c r="E16" s="733">
        <v>1798551.4436999999</v>
      </c>
      <c r="F16" s="733">
        <v>456897.83</v>
      </c>
      <c r="G16" s="733">
        <v>16980734.75</v>
      </c>
      <c r="H16" s="733">
        <f t="shared" ref="H16:H20" si="4">E16/12*12</f>
        <v>1798551.4436999999</v>
      </c>
      <c r="I16" s="44">
        <f t="shared" si="1"/>
        <v>15182183.306299999</v>
      </c>
      <c r="J16" s="330">
        <f t="shared" si="2"/>
        <v>8.4413394787680041</v>
      </c>
      <c r="K16" s="735">
        <f>E16</f>
        <v>1798551.4436999999</v>
      </c>
    </row>
    <row r="17" spans="1:11" ht="11.25" customHeight="1" x14ac:dyDescent="0.25">
      <c r="A17" s="86" t="s">
        <v>840</v>
      </c>
      <c r="B17" s="421"/>
      <c r="C17" s="748">
        <v>604456</v>
      </c>
      <c r="D17" s="745">
        <v>1119569.0055</v>
      </c>
      <c r="E17" s="733">
        <v>1119569.0055</v>
      </c>
      <c r="F17" s="733">
        <v>82758.12</v>
      </c>
      <c r="G17" s="733">
        <v>563422.04</v>
      </c>
      <c r="H17" s="733">
        <f t="shared" si="4"/>
        <v>1119569.0055</v>
      </c>
      <c r="I17" s="44">
        <f t="shared" si="1"/>
        <v>-556146.96549999993</v>
      </c>
      <c r="J17" s="330">
        <f t="shared" si="2"/>
        <v>-0.49675094859528063</v>
      </c>
      <c r="K17" s="735">
        <f>E17</f>
        <v>1119569.0055</v>
      </c>
    </row>
    <row r="18" spans="1:11" ht="11.25" customHeight="1" x14ac:dyDescent="0.25">
      <c r="A18" s="86" t="s">
        <v>580</v>
      </c>
      <c r="B18" s="421"/>
      <c r="C18" s="748">
        <v>1090372</v>
      </c>
      <c r="D18" s="745">
        <v>601902.02599999995</v>
      </c>
      <c r="E18" s="733">
        <v>601902.02599999995</v>
      </c>
      <c r="F18" s="733">
        <v>-34938</v>
      </c>
      <c r="G18" s="733">
        <v>1931382</v>
      </c>
      <c r="H18" s="733">
        <f t="shared" si="4"/>
        <v>601902.02599999995</v>
      </c>
      <c r="I18" s="44">
        <f t="shared" si="1"/>
        <v>1329479.9739999999</v>
      </c>
      <c r="J18" s="330">
        <f t="shared" si="2"/>
        <v>2.2087979713828045</v>
      </c>
      <c r="K18" s="735">
        <f>E18</f>
        <v>601902.02599999995</v>
      </c>
    </row>
    <row r="19" spans="1:11" ht="11.25" customHeight="1" x14ac:dyDescent="0.25">
      <c r="A19" s="518" t="s">
        <v>1118</v>
      </c>
      <c r="B19" s="421"/>
      <c r="C19" s="748">
        <v>637128044</v>
      </c>
      <c r="D19" s="745">
        <v>675483240</v>
      </c>
      <c r="E19" s="733">
        <v>819982787</v>
      </c>
      <c r="F19" s="733">
        <v>6178809.5300000003</v>
      </c>
      <c r="G19" s="733">
        <v>751385897.5</v>
      </c>
      <c r="H19" s="733">
        <f t="shared" si="4"/>
        <v>819982787</v>
      </c>
      <c r="I19" s="44">
        <f t="shared" si="1"/>
        <v>-68596889.5</v>
      </c>
      <c r="J19" s="330">
        <f t="shared" si="2"/>
        <v>-8.3656499365028739E-2</v>
      </c>
      <c r="K19" s="735">
        <f>E19</f>
        <v>819982787</v>
      </c>
    </row>
    <row r="20" spans="1:11" ht="11.25" customHeight="1" x14ac:dyDescent="0.25">
      <c r="A20" s="86" t="s">
        <v>453</v>
      </c>
      <c r="B20" s="421"/>
      <c r="C20" s="748">
        <v>76138861.760000005</v>
      </c>
      <c r="D20" s="745">
        <v>146451785.14229998</v>
      </c>
      <c r="E20" s="733">
        <v>146451785.14229998</v>
      </c>
      <c r="F20" s="733">
        <v>3125416.48</v>
      </c>
      <c r="G20" s="733">
        <v>55438226.299999997</v>
      </c>
      <c r="H20" s="733">
        <f t="shared" si="4"/>
        <v>146451785.14229998</v>
      </c>
      <c r="I20" s="44">
        <f t="shared" si="1"/>
        <v>-91013558.842299983</v>
      </c>
      <c r="J20" s="330">
        <f t="shared" si="2"/>
        <v>-0.62145749028505592</v>
      </c>
      <c r="K20" s="735">
        <f>E20</f>
        <v>146451785.14229998</v>
      </c>
    </row>
    <row r="21" spans="1:11" ht="11.25" customHeight="1" x14ac:dyDescent="0.25">
      <c r="A21" s="990" t="s">
        <v>1369</v>
      </c>
      <c r="B21" s="419"/>
      <c r="C21" s="748"/>
      <c r="D21" s="745"/>
      <c r="E21" s="733"/>
      <c r="F21" s="733"/>
      <c r="G21" s="733"/>
      <c r="H21" s="733"/>
      <c r="I21" s="44">
        <f t="shared" si="1"/>
        <v>0</v>
      </c>
      <c r="J21" s="330" t="str">
        <f t="shared" si="2"/>
        <v/>
      </c>
      <c r="K21" s="735"/>
    </row>
    <row r="22" spans="1:11" ht="24.75" customHeight="1" x14ac:dyDescent="0.25">
      <c r="A22" s="586" t="s">
        <v>134</v>
      </c>
      <c r="B22" s="587"/>
      <c r="C22" s="522">
        <f t="shared" ref="C22:H22" si="5">SUM(C6:C10)+SUM(C12:C21)</f>
        <v>5359930421.4200001</v>
      </c>
      <c r="D22" s="523">
        <f t="shared" si="5"/>
        <v>5917810257.8720617</v>
      </c>
      <c r="E22" s="524">
        <f t="shared" si="5"/>
        <v>6062418704.8720617</v>
      </c>
      <c r="F22" s="524">
        <f t="shared" si="5"/>
        <v>406441550.15000004</v>
      </c>
      <c r="G22" s="524">
        <f t="shared" si="5"/>
        <v>5570855710.7600002</v>
      </c>
      <c r="H22" s="524">
        <f t="shared" si="5"/>
        <v>6062418704.8720617</v>
      </c>
      <c r="I22" s="524">
        <f t="shared" si="1"/>
        <v>-491562994.1120615</v>
      </c>
      <c r="J22" s="525">
        <f t="shared" si="2"/>
        <v>-8.1083643021392926E-2</v>
      </c>
      <c r="K22" s="526">
        <f>SUM(K6:K10)+SUM(K12:K21)</f>
        <v>6062418704.8720617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v>1345486985</v>
      </c>
      <c r="D25" s="745">
        <v>1478324301.5741799</v>
      </c>
      <c r="E25" s="733">
        <v>1474657970.2495086</v>
      </c>
      <c r="F25" s="733">
        <v>206346887.97000009</v>
      </c>
      <c r="G25" s="733">
        <v>1430291148.0699992</v>
      </c>
      <c r="H25" s="733">
        <f t="shared" ref="H25:H35" si="6">E25/12*12</f>
        <v>1474657970.2495086</v>
      </c>
      <c r="I25" s="44">
        <f t="shared" ref="I25:I36" si="7">G25-H25</f>
        <v>-44366822.179509401</v>
      </c>
      <c r="J25" s="330">
        <f t="shared" ref="J25:J41" si="8">IF(I25=0,"",I25/H25)</f>
        <v>-3.0086177998280266E-2</v>
      </c>
      <c r="K25" s="735">
        <f t="shared" ref="K25:K35" si="9">E25</f>
        <v>1474657970.2495086</v>
      </c>
    </row>
    <row r="26" spans="1:11" ht="12.75" customHeight="1" x14ac:dyDescent="0.25">
      <c r="A26" s="39" t="s">
        <v>477</v>
      </c>
      <c r="B26" s="419"/>
      <c r="C26" s="748">
        <v>43759322</v>
      </c>
      <c r="D26" s="745">
        <v>53650401.115479976</v>
      </c>
      <c r="E26" s="733">
        <v>53650401.439999998</v>
      </c>
      <c r="F26" s="733">
        <v>4030889.5199999991</v>
      </c>
      <c r="G26" s="733">
        <v>51641247.129999988</v>
      </c>
      <c r="H26" s="733">
        <f t="shared" si="6"/>
        <v>53650401.439999998</v>
      </c>
      <c r="I26" s="44">
        <f t="shared" si="7"/>
        <v>-2009154.3100000098</v>
      </c>
      <c r="J26" s="330">
        <f t="shared" si="8"/>
        <v>-3.7449007949119456E-2</v>
      </c>
      <c r="K26" s="735">
        <f t="shared" si="9"/>
        <v>53650401.439999998</v>
      </c>
    </row>
    <row r="27" spans="1:11" ht="12.75" customHeight="1" x14ac:dyDescent="0.25">
      <c r="A27" s="86" t="s">
        <v>611</v>
      </c>
      <c r="B27" s="421"/>
      <c r="C27" s="748">
        <v>567918578</v>
      </c>
      <c r="D27" s="745">
        <v>123904143.27200001</v>
      </c>
      <c r="E27" s="733">
        <v>123904143.27200001</v>
      </c>
      <c r="F27" s="733">
        <v>293002583.73000002</v>
      </c>
      <c r="G27" s="733">
        <v>384120628.07999998</v>
      </c>
      <c r="H27" s="733">
        <f t="shared" si="6"/>
        <v>123904143.27200001</v>
      </c>
      <c r="I27" s="44">
        <f t="shared" si="7"/>
        <v>260216484.80799997</v>
      </c>
      <c r="J27" s="330">
        <f t="shared" si="8"/>
        <v>2.1001435297991682</v>
      </c>
      <c r="K27" s="735">
        <f t="shared" si="9"/>
        <v>123904143.27200001</v>
      </c>
    </row>
    <row r="28" spans="1:11" ht="12.75" customHeight="1" x14ac:dyDescent="0.25">
      <c r="A28" s="86" t="s">
        <v>664</v>
      </c>
      <c r="B28" s="421"/>
      <c r="C28" s="748">
        <v>417614093.69000024</v>
      </c>
      <c r="D28" s="745">
        <v>489941448.27473986</v>
      </c>
      <c r="E28" s="733">
        <v>482441449.27473998</v>
      </c>
      <c r="F28" s="733">
        <v>35197769.920000002</v>
      </c>
      <c r="G28" s="733">
        <v>423414820.87999994</v>
      </c>
      <c r="H28" s="733">
        <f t="shared" si="6"/>
        <v>482441449.27473998</v>
      </c>
      <c r="I28" s="44">
        <f t="shared" si="7"/>
        <v>-59026628.394740045</v>
      </c>
      <c r="J28" s="330">
        <f t="shared" si="8"/>
        <v>-0.12234982811587911</v>
      </c>
      <c r="K28" s="735">
        <f t="shared" si="9"/>
        <v>482441449.27473998</v>
      </c>
    </row>
    <row r="29" spans="1:11" ht="12.75" customHeight="1" x14ac:dyDescent="0.25">
      <c r="A29" s="86" t="s">
        <v>452</v>
      </c>
      <c r="B29" s="421"/>
      <c r="C29" s="748">
        <v>43716970</v>
      </c>
      <c r="D29" s="745">
        <v>31793212.220000003</v>
      </c>
      <c r="E29" s="733">
        <v>36505334.219999969</v>
      </c>
      <c r="F29" s="733">
        <v>2639492.14</v>
      </c>
      <c r="G29" s="733">
        <v>35856007.330000006</v>
      </c>
      <c r="H29" s="733">
        <f t="shared" si="6"/>
        <v>36505334.219999969</v>
      </c>
      <c r="I29" s="44">
        <f t="shared" si="7"/>
        <v>-649326.88999996334</v>
      </c>
      <c r="J29" s="330">
        <f t="shared" si="8"/>
        <v>-1.7787178336370918E-2</v>
      </c>
      <c r="K29" s="735">
        <f t="shared" si="9"/>
        <v>36505334.219999969</v>
      </c>
    </row>
    <row r="30" spans="1:11" ht="12.75" customHeight="1" x14ac:dyDescent="0.25">
      <c r="A30" s="86" t="s">
        <v>844</v>
      </c>
      <c r="B30" s="421"/>
      <c r="C30" s="748">
        <v>1755899645.74</v>
      </c>
      <c r="D30" s="745">
        <v>2608224084.5041752</v>
      </c>
      <c r="E30" s="733">
        <v>2551671974.5041752</v>
      </c>
      <c r="F30" s="733">
        <v>321581009.31999999</v>
      </c>
      <c r="G30" s="733">
        <v>2680850092.8299999</v>
      </c>
      <c r="H30" s="733">
        <f t="shared" si="6"/>
        <v>2551671974.5041752</v>
      </c>
      <c r="I30" s="44">
        <f t="shared" si="7"/>
        <v>129178118.32582474</v>
      </c>
      <c r="J30" s="330">
        <f t="shared" si="8"/>
        <v>5.0624892077252924E-2</v>
      </c>
      <c r="K30" s="735">
        <f t="shared" si="9"/>
        <v>2551671974.5041752</v>
      </c>
    </row>
    <row r="31" spans="1:11" ht="12.75" customHeight="1" x14ac:dyDescent="0.25">
      <c r="A31" s="86" t="s">
        <v>920</v>
      </c>
      <c r="B31" s="421"/>
      <c r="C31" s="748">
        <v>792388542.00999999</v>
      </c>
      <c r="D31" s="745">
        <v>46613414.686963424</v>
      </c>
      <c r="E31" s="733">
        <v>66137657.143800952</v>
      </c>
      <c r="F31" s="733">
        <v>9455141.6100000013</v>
      </c>
      <c r="G31" s="733">
        <v>58058091.519999966</v>
      </c>
      <c r="H31" s="733">
        <f t="shared" si="6"/>
        <v>66137657.143800952</v>
      </c>
      <c r="I31" s="44">
        <f t="shared" si="7"/>
        <v>-8079565.6238009855</v>
      </c>
      <c r="J31" s="330">
        <f t="shared" si="8"/>
        <v>-0.12216286413402654</v>
      </c>
      <c r="K31" s="735">
        <f t="shared" si="9"/>
        <v>66137657.143800952</v>
      </c>
    </row>
    <row r="32" spans="1:11" ht="12.75" customHeight="1" x14ac:dyDescent="0.25">
      <c r="A32" s="86" t="s">
        <v>845</v>
      </c>
      <c r="B32" s="421"/>
      <c r="C32" s="748">
        <v>31504387.066664875</v>
      </c>
      <c r="D32" s="745">
        <v>464722594.2633999</v>
      </c>
      <c r="E32" s="733">
        <v>636216030.0508498</v>
      </c>
      <c r="F32" s="733">
        <v>90595072.299999923</v>
      </c>
      <c r="G32" s="733">
        <v>542232571.21999967</v>
      </c>
      <c r="H32" s="733">
        <f t="shared" si="6"/>
        <v>636216030.0508498</v>
      </c>
      <c r="I32" s="44">
        <f t="shared" si="7"/>
        <v>-93983458.830850124</v>
      </c>
      <c r="J32" s="330">
        <f t="shared" si="8"/>
        <v>-0.14772255710585988</v>
      </c>
      <c r="K32" s="735">
        <f t="shared" si="9"/>
        <v>636216030.0508498</v>
      </c>
    </row>
    <row r="33" spans="1:12" ht="12.75" customHeight="1" x14ac:dyDescent="0.25">
      <c r="A33" s="517" t="s">
        <v>1118</v>
      </c>
      <c r="B33" s="421"/>
      <c r="C33" s="748">
        <v>25306678</v>
      </c>
      <c r="D33" s="745">
        <v>25080461.44304001</v>
      </c>
      <c r="E33" s="733">
        <v>59680462</v>
      </c>
      <c r="F33" s="733">
        <v>-25967455.409999996</v>
      </c>
      <c r="G33" s="733">
        <v>16215843.770000003</v>
      </c>
      <c r="H33" s="733">
        <f t="shared" si="6"/>
        <v>59680462</v>
      </c>
      <c r="I33" s="44">
        <f t="shared" si="7"/>
        <v>-43464618.229999997</v>
      </c>
      <c r="J33" s="330">
        <f t="shared" si="8"/>
        <v>-0.72828890349407815</v>
      </c>
      <c r="K33" s="735">
        <f t="shared" si="9"/>
        <v>59680462</v>
      </c>
    </row>
    <row r="34" spans="1:12" ht="12.75" customHeight="1" x14ac:dyDescent="0.25">
      <c r="A34" s="86" t="s">
        <v>434</v>
      </c>
      <c r="B34" s="421"/>
      <c r="C34" s="748">
        <v>495112178.04333192</v>
      </c>
      <c r="D34" s="745">
        <v>194223408.19064996</v>
      </c>
      <c r="E34" s="733">
        <v>188215605.26623628</v>
      </c>
      <c r="F34" s="733">
        <v>20294905.149999991</v>
      </c>
      <c r="G34" s="733">
        <v>149362979.87999997</v>
      </c>
      <c r="H34" s="733">
        <f t="shared" si="6"/>
        <v>188215605.26623628</v>
      </c>
      <c r="I34" s="44">
        <f t="shared" si="7"/>
        <v>-38852625.38623631</v>
      </c>
      <c r="J34" s="330">
        <f t="shared" si="8"/>
        <v>-0.20642616392662116</v>
      </c>
      <c r="K34" s="735">
        <f t="shared" si="9"/>
        <v>188215605.26623628</v>
      </c>
    </row>
    <row r="35" spans="1:12" ht="12.75" customHeight="1" x14ac:dyDescent="0.25">
      <c r="A35" s="990" t="s">
        <v>1370</v>
      </c>
      <c r="B35" s="419"/>
      <c r="C35" s="748">
        <v>47941458</v>
      </c>
      <c r="D35" s="745"/>
      <c r="E35" s="733">
        <v>70000</v>
      </c>
      <c r="F35" s="733"/>
      <c r="G35" s="733"/>
      <c r="H35" s="733">
        <f t="shared" si="6"/>
        <v>70000</v>
      </c>
      <c r="I35" s="44">
        <f t="shared" si="7"/>
        <v>-70000</v>
      </c>
      <c r="J35" s="330">
        <f t="shared" si="8"/>
        <v>-1</v>
      </c>
      <c r="K35" s="735">
        <f t="shared" si="9"/>
        <v>70000</v>
      </c>
    </row>
    <row r="36" spans="1:12" ht="12.75" customHeight="1" x14ac:dyDescent="0.25">
      <c r="A36" s="92" t="s">
        <v>488</v>
      </c>
      <c r="B36" s="422"/>
      <c r="C36" s="243">
        <f t="shared" ref="C36:K36" si="10">SUM(C25:C35)</f>
        <v>5566648837.5499973</v>
      </c>
      <c r="D36" s="74">
        <f>SUM(D25:D35)</f>
        <v>5516477469.5446281</v>
      </c>
      <c r="E36" s="73">
        <f>SUM(E25:E35)</f>
        <v>5673151027.4213114</v>
      </c>
      <c r="F36" s="73">
        <f t="shared" si="10"/>
        <v>957176296.25000012</v>
      </c>
      <c r="G36" s="73">
        <f t="shared" si="10"/>
        <v>5772043430.7099981</v>
      </c>
      <c r="H36" s="73">
        <f t="shared" si="10"/>
        <v>5673151027.4213114</v>
      </c>
      <c r="I36" s="73">
        <f t="shared" si="7"/>
        <v>98892403.288686752</v>
      </c>
      <c r="J36" s="331">
        <f t="shared" si="8"/>
        <v>1.7431653557377188E-2</v>
      </c>
      <c r="K36" s="145">
        <f t="shared" si="10"/>
        <v>5673151027.4213114</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-206718416.12999725</v>
      </c>
      <c r="D38" s="51">
        <f t="shared" si="11"/>
        <v>401332788.32743359</v>
      </c>
      <c r="E38" s="50">
        <f t="shared" si="11"/>
        <v>389267677.45075035</v>
      </c>
      <c r="F38" s="50">
        <f t="shared" si="11"/>
        <v>-550734746.10000014</v>
      </c>
      <c r="G38" s="50">
        <f t="shared" si="11"/>
        <v>-201187719.9499979</v>
      </c>
      <c r="H38" s="50">
        <f t="shared" si="11"/>
        <v>389267677.45075035</v>
      </c>
      <c r="I38" s="102">
        <f>I22-I36</f>
        <v>-590455397.40074825</v>
      </c>
      <c r="J38" s="102">
        <f t="shared" si="8"/>
        <v>-1.5168364382769794</v>
      </c>
      <c r="K38" s="194">
        <f>K22-K36</f>
        <v>389267677.45075035</v>
      </c>
    </row>
    <row r="39" spans="1:12" ht="19.899999999999999" customHeight="1" x14ac:dyDescent="0.25">
      <c r="A39" s="937" t="s">
        <v>1119</v>
      </c>
      <c r="B39" s="419"/>
      <c r="C39" s="748">
        <v>430113748.5</v>
      </c>
      <c r="D39" s="745">
        <v>525891580.99999982</v>
      </c>
      <c r="E39" s="733">
        <v>526485334.99999982</v>
      </c>
      <c r="F39" s="733">
        <v>181114382.68000001</v>
      </c>
      <c r="G39" s="733">
        <v>589628625.70000005</v>
      </c>
      <c r="H39" s="733">
        <f>E39/12*12</f>
        <v>526485334.99999976</v>
      </c>
      <c r="I39" s="47">
        <f>G39-H39</f>
        <v>63143290.700000286</v>
      </c>
      <c r="J39" s="102">
        <f t="shared" si="8"/>
        <v>0.11993361733428019</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223395332.37000275</v>
      </c>
      <c r="D42" s="253">
        <f t="shared" si="12"/>
        <v>927224369.32743335</v>
      </c>
      <c r="E42" s="254">
        <f t="shared" si="12"/>
        <v>915753012.45075011</v>
      </c>
      <c r="F42" s="254">
        <f t="shared" si="12"/>
        <v>-369620363.42000014</v>
      </c>
      <c r="G42" s="254">
        <f t="shared" si="12"/>
        <v>388440905.75000215</v>
      </c>
      <c r="H42" s="254">
        <f t="shared" si="12"/>
        <v>915753012.45075011</v>
      </c>
      <c r="I42" s="329"/>
      <c r="J42" s="329"/>
      <c r="K42" s="255">
        <f>K38+SUM(K39:K41)</f>
        <v>915753012.45075011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223395332.37000275</v>
      </c>
      <c r="D44" s="51">
        <f t="shared" si="13"/>
        <v>927224369.32743335</v>
      </c>
      <c r="E44" s="50">
        <f t="shared" si="13"/>
        <v>915753012.45075011</v>
      </c>
      <c r="F44" s="50">
        <f t="shared" si="13"/>
        <v>-369620363.42000014</v>
      </c>
      <c r="G44" s="50">
        <f t="shared" si="13"/>
        <v>388440905.75000215</v>
      </c>
      <c r="H44" s="50">
        <f t="shared" si="13"/>
        <v>915753012.45075011</v>
      </c>
      <c r="I44" s="327"/>
      <c r="J44" s="327"/>
      <c r="K44" s="194">
        <f>K42-K43</f>
        <v>915753012.45075011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223395332.37000275</v>
      </c>
      <c r="D46" s="530">
        <f t="shared" si="14"/>
        <v>927224369.32743335</v>
      </c>
      <c r="E46" s="528">
        <f t="shared" si="14"/>
        <v>915753012.45075011</v>
      </c>
      <c r="F46" s="528">
        <f t="shared" si="14"/>
        <v>-369620363.42000014</v>
      </c>
      <c r="G46" s="528">
        <f t="shared" si="14"/>
        <v>388440905.75000215</v>
      </c>
      <c r="H46" s="528">
        <f t="shared" si="14"/>
        <v>915753012.45075011</v>
      </c>
      <c r="I46" s="273"/>
      <c r="J46" s="273"/>
      <c r="K46" s="529">
        <f>SUM(K44:K45)</f>
        <v>915753012.45075011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223395332.37000275</v>
      </c>
      <c r="D48" s="77">
        <f t="shared" si="15"/>
        <v>927224369.32743335</v>
      </c>
      <c r="E48" s="76">
        <f t="shared" si="15"/>
        <v>915753012.45075011</v>
      </c>
      <c r="F48" s="76">
        <f t="shared" si="15"/>
        <v>-369620363.42000014</v>
      </c>
      <c r="G48" s="76">
        <f t="shared" si="15"/>
        <v>388440905.75000215</v>
      </c>
      <c r="H48" s="76">
        <f t="shared" si="15"/>
        <v>915753012.45075011</v>
      </c>
      <c r="I48" s="334"/>
      <c r="J48" s="334"/>
      <c r="K48" s="234">
        <f>K46+K47</f>
        <v>915753012.45075011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5790044169.9200001</v>
      </c>
      <c r="D53" s="62">
        <f t="shared" si="16"/>
        <v>6443701838.8720617</v>
      </c>
      <c r="E53" s="62">
        <f t="shared" si="16"/>
        <v>6588904039.8720617</v>
      </c>
      <c r="F53" s="62">
        <f t="shared" si="16"/>
        <v>587555932.83000004</v>
      </c>
      <c r="G53" s="62">
        <f t="shared" si="16"/>
        <v>6160484336.46</v>
      </c>
      <c r="H53" s="62">
        <f t="shared" si="16"/>
        <v>6588904039.8720617</v>
      </c>
      <c r="I53" s="62"/>
      <c r="J53" s="62"/>
      <c r="K53" s="62">
        <f>K22+SUM(K39:K41)</f>
        <v>6588904039.8720617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14" activePane="bottomRight" state="frozen"/>
      <selection pane="topRight"/>
      <selection pane="bottomLeft"/>
      <selection pane="bottomRight" activeCell="L37" sqref="L37"/>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7" t="str">
        <f>muni&amp; " - "&amp;S71D&amp; " - "&amp;date</f>
        <v>KZN225 Msunduzi - Table C5 Consolidated Monthly Budget Statement - Capital Expenditure (municipal vote, functional classification and funding  - Q4 Fourth Quarter</v>
      </c>
      <c r="B1" s="1047"/>
      <c r="C1" s="1047"/>
      <c r="D1" s="1047"/>
      <c r="E1" s="1047"/>
      <c r="F1" s="1047"/>
      <c r="G1" s="1047"/>
      <c r="H1" s="1047"/>
      <c r="I1" s="1047"/>
      <c r="J1" s="1047"/>
      <c r="K1" s="1047"/>
    </row>
    <row r="2" spans="1:12" x14ac:dyDescent="0.25">
      <c r="A2" s="1045" t="str">
        <f>Vdesc</f>
        <v>Vote Description</v>
      </c>
      <c r="B2" s="1054" t="str">
        <f>head27</f>
        <v>Ref</v>
      </c>
      <c r="C2" s="139" t="str">
        <f>Head1</f>
        <v>2019/20</v>
      </c>
      <c r="D2" s="245" t="str">
        <f>Head2</f>
        <v>Budget Year 2020/21</v>
      </c>
      <c r="E2" s="229"/>
      <c r="F2" s="229"/>
      <c r="G2" s="229"/>
      <c r="H2" s="229"/>
      <c r="I2" s="229"/>
      <c r="J2" s="229"/>
      <c r="K2" s="230"/>
    </row>
    <row r="3" spans="1:12" ht="25.5" x14ac:dyDescent="0.25">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646307</v>
      </c>
      <c r="D6" s="532">
        <f>'C5C'!D7</f>
        <v>3800000</v>
      </c>
      <c r="E6" s="47">
        <f>'C5C'!E7</f>
        <v>2300000</v>
      </c>
      <c r="F6" s="47">
        <f>'C5C'!F7</f>
        <v>0</v>
      </c>
      <c r="G6" s="47">
        <f>'C5C'!G7</f>
        <v>0</v>
      </c>
      <c r="H6" s="47">
        <f>'C5C'!H7</f>
        <v>2300000</v>
      </c>
      <c r="I6" s="44">
        <f>G6-H6</f>
        <v>-2300000</v>
      </c>
      <c r="J6" s="330">
        <f>IF(I6=0,"",I6/H6)</f>
        <v>-1</v>
      </c>
      <c r="K6" s="144">
        <f>'C5C'!K7</f>
        <v>2300000</v>
      </c>
      <c r="L6" s="100"/>
    </row>
    <row r="7" spans="1:12" ht="13.5" customHeight="1" x14ac:dyDescent="0.25">
      <c r="A7" s="407" t="str">
        <f>'Org structure'!A3</f>
        <v>Vote 2 - City Finance</v>
      </c>
      <c r="B7" s="419"/>
      <c r="C7" s="648">
        <f>'C5C'!C12</f>
        <v>9184603</v>
      </c>
      <c r="D7" s="670">
        <f>'C5C'!D12</f>
        <v>12500000</v>
      </c>
      <c r="E7" s="408">
        <f>'C5C'!E12</f>
        <v>4720000</v>
      </c>
      <c r="F7" s="408">
        <f>'C5C'!F12</f>
        <v>48708.54</v>
      </c>
      <c r="G7" s="408">
        <f>'C5C'!G12</f>
        <v>280940.55</v>
      </c>
      <c r="H7" s="408">
        <f>'C5C'!H12</f>
        <v>4720000</v>
      </c>
      <c r="I7" s="44">
        <f>G7-H7</f>
        <v>-4439059.45</v>
      </c>
      <c r="J7" s="330">
        <f>IF(I7=0,"",I7/H7)</f>
        <v>-0.9404786970338983</v>
      </c>
      <c r="K7" s="642">
        <f>'C5C'!K12</f>
        <v>4720000</v>
      </c>
      <c r="L7" s="100"/>
    </row>
    <row r="8" spans="1:12" ht="13.5" customHeight="1" x14ac:dyDescent="0.25">
      <c r="A8" s="407" t="str">
        <f>'Org structure'!A4</f>
        <v>Vote 3 - Community Services and Social Equity</v>
      </c>
      <c r="B8" s="419"/>
      <c r="C8" s="648">
        <f>'C5C'!C18</f>
        <v>12745198</v>
      </c>
      <c r="D8" s="670">
        <f>'C5C'!D18</f>
        <v>23812425</v>
      </c>
      <c r="E8" s="408">
        <f>'C5C'!E18</f>
        <v>46120040</v>
      </c>
      <c r="F8" s="408">
        <f>'C5C'!F18</f>
        <v>5780249.4199999999</v>
      </c>
      <c r="G8" s="408">
        <f>'C5C'!G18</f>
        <v>11874375.710000001</v>
      </c>
      <c r="H8" s="408">
        <f>'C5C'!H18</f>
        <v>46120040</v>
      </c>
      <c r="I8" s="44">
        <f t="shared" ref="I8:I17" si="0">G8-H8</f>
        <v>-34245664.289999999</v>
      </c>
      <c r="J8" s="330">
        <f t="shared" ref="J8:J17" si="1">IF(I8=0,"",I8/H8)</f>
        <v>-0.74253327382196543</v>
      </c>
      <c r="K8" s="642">
        <f>'C5C'!K18</f>
        <v>46120040</v>
      </c>
      <c r="L8" s="697"/>
    </row>
    <row r="9" spans="1:12" ht="13.5" customHeight="1" x14ac:dyDescent="0.25">
      <c r="A9" s="407" t="str">
        <f>'Org structure'!A5</f>
        <v>Vote 4 - Corporate Services</v>
      </c>
      <c r="B9" s="419"/>
      <c r="C9" s="648">
        <f>'C5C'!C23</f>
        <v>-6912874</v>
      </c>
      <c r="D9" s="670">
        <f>'C5C'!D23</f>
        <v>0</v>
      </c>
      <c r="E9" s="408">
        <f>'C5C'!E23</f>
        <v>1970000</v>
      </c>
      <c r="F9" s="408">
        <f>'C5C'!F23</f>
        <v>0</v>
      </c>
      <c r="G9" s="408">
        <f>'C5C'!G23</f>
        <v>0</v>
      </c>
      <c r="H9" s="408">
        <f>'C5C'!H23</f>
        <v>1970000</v>
      </c>
      <c r="I9" s="44">
        <f t="shared" si="0"/>
        <v>-1970000</v>
      </c>
      <c r="J9" s="330">
        <f t="shared" si="1"/>
        <v>-1</v>
      </c>
      <c r="K9" s="642">
        <f>'C5C'!K23</f>
        <v>1970000</v>
      </c>
      <c r="L9" s="697"/>
    </row>
    <row r="10" spans="1:12" ht="13.5" customHeight="1" x14ac:dyDescent="0.25">
      <c r="A10" s="407" t="str">
        <f>'Org structure'!A6</f>
        <v>Vote 5 - Infrastructure Services</v>
      </c>
      <c r="B10" s="419"/>
      <c r="C10" s="648">
        <f>'C5C'!C29</f>
        <v>354424144.07999998</v>
      </c>
      <c r="D10" s="670">
        <f>'C5C'!D29</f>
        <v>168455000</v>
      </c>
      <c r="E10" s="408">
        <f>'C5C'!E29</f>
        <v>7780000</v>
      </c>
      <c r="F10" s="408">
        <f>'C5C'!F29</f>
        <v>115378688.47</v>
      </c>
      <c r="G10" s="408">
        <f>'C5C'!G29</f>
        <v>427478277.36000001</v>
      </c>
      <c r="H10" s="408">
        <f>'C5C'!H29</f>
        <v>7780000</v>
      </c>
      <c r="I10" s="44">
        <f t="shared" si="0"/>
        <v>419698277.36000001</v>
      </c>
      <c r="J10" s="330">
        <f t="shared" si="1"/>
        <v>53.945794005141387</v>
      </c>
      <c r="K10" s="642">
        <f>'C5C'!K29</f>
        <v>7780000</v>
      </c>
      <c r="L10" s="697"/>
    </row>
    <row r="11" spans="1:12" ht="13.5" customHeight="1" x14ac:dyDescent="0.25">
      <c r="A11" s="407" t="str">
        <f>'Org structure'!A7</f>
        <v>Vote 6 - Sustainable Development and City Enterprises</v>
      </c>
      <c r="B11" s="419"/>
      <c r="C11" s="648">
        <f>'C5C'!C35</f>
        <v>109767844.09</v>
      </c>
      <c r="D11" s="670">
        <f>'C5C'!D35</f>
        <v>300600156</v>
      </c>
      <c r="E11" s="408">
        <f>'C5C'!E35</f>
        <v>319509531.77999997</v>
      </c>
      <c r="F11" s="408">
        <f>'C5C'!F35</f>
        <v>124479778.44999999</v>
      </c>
      <c r="G11" s="408">
        <f>'C5C'!G35</f>
        <v>177666311.33000001</v>
      </c>
      <c r="H11" s="408">
        <f>'C5C'!H35</f>
        <v>319509531.77999997</v>
      </c>
      <c r="I11" s="44">
        <f t="shared" si="0"/>
        <v>-141843220.44999996</v>
      </c>
      <c r="J11" s="330">
        <f t="shared" si="1"/>
        <v>-0.44394049736102048</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479855222.16999996</v>
      </c>
      <c r="D21" s="544">
        <f t="shared" ref="D21:I21" si="2">SUM(D6:D20)</f>
        <v>509167581</v>
      </c>
      <c r="E21" s="430">
        <f t="shared" si="2"/>
        <v>382399571.77999997</v>
      </c>
      <c r="F21" s="430">
        <f t="shared" si="2"/>
        <v>245687424.88</v>
      </c>
      <c r="G21" s="430">
        <f t="shared" si="2"/>
        <v>617299904.95000005</v>
      </c>
      <c r="H21" s="430">
        <f t="shared" si="2"/>
        <v>382399571.77999997</v>
      </c>
      <c r="I21" s="430">
        <f t="shared" si="2"/>
        <v>234900333.17000005</v>
      </c>
      <c r="J21" s="431">
        <f>IF(I21=0,"",I21/H21)</f>
        <v>0.61427980182242892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1409774.98</v>
      </c>
      <c r="H24" s="44">
        <f>'C5C'!H149</f>
        <v>1500000</v>
      </c>
      <c r="I24" s="44">
        <f>'C5C'!I149</f>
        <v>-90225.020000000019</v>
      </c>
      <c r="J24" s="330">
        <f>IF(I24=0,"",I24/H24)</f>
        <v>-6.0150013333333349E-2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4566144.6399999997</v>
      </c>
      <c r="G25" s="44">
        <f>'C5C'!G160</f>
        <v>7781160.2799999993</v>
      </c>
      <c r="H25" s="44">
        <f>'C5C'!H160</f>
        <v>27914416</v>
      </c>
      <c r="I25" s="44">
        <f>'C5C'!I160</f>
        <v>-20133255.719999999</v>
      </c>
      <c r="J25" s="330">
        <f t="shared" ref="J25:J39" si="3">IF(I25=0,"",I25/H25)</f>
        <v>-0.72124939744395866</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3385113.87</v>
      </c>
      <c r="G26" s="44">
        <f>'C5C'!G171</f>
        <v>26470523.920000002</v>
      </c>
      <c r="H26" s="44">
        <f>'C5C'!H171</f>
        <v>19124760</v>
      </c>
      <c r="I26" s="44">
        <f>'C5C'!I171</f>
        <v>7345763.9200000018</v>
      </c>
      <c r="J26" s="330">
        <f t="shared" si="3"/>
        <v>0.38409705115253745</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628942.86</v>
      </c>
      <c r="G27" s="44">
        <f>'C5C'!G182</f>
        <v>1104306.6600000001</v>
      </c>
      <c r="H27" s="44">
        <f>'C5C'!H182</f>
        <v>530000</v>
      </c>
      <c r="I27" s="44">
        <f>'C5C'!I182</f>
        <v>574306.66000000015</v>
      </c>
      <c r="J27" s="330">
        <f t="shared" si="3"/>
        <v>1.0835974716981134</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11044225.430000002</v>
      </c>
      <c r="G28" s="44">
        <f>'C5C'!G193</f>
        <v>28166697.609999999</v>
      </c>
      <c r="H28" s="44">
        <f>'C5C'!H193</f>
        <v>310123978</v>
      </c>
      <c r="I28" s="44">
        <f>'C5C'!I193</f>
        <v>-281957280.38999999</v>
      </c>
      <c r="J28" s="330">
        <f t="shared" si="3"/>
        <v>-0.90917600828014655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499373.71</v>
      </c>
      <c r="G29" s="44">
        <f>'C5C'!G204</f>
        <v>4022506.12</v>
      </c>
      <c r="H29" s="44">
        <f>'C5C'!H204</f>
        <v>5597634</v>
      </c>
      <c r="I29" s="44">
        <f>'C5C'!I204</f>
        <v>-1575127.88</v>
      </c>
      <c r="J29" s="330">
        <f t="shared" si="3"/>
        <v>-0.28139172371755639</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20123800.510000002</v>
      </c>
      <c r="G39" s="161">
        <f t="shared" si="4"/>
        <v>68954969.570000008</v>
      </c>
      <c r="H39" s="161">
        <f t="shared" si="4"/>
        <v>364790788</v>
      </c>
      <c r="I39" s="73">
        <f t="shared" si="4"/>
        <v>-295835818.42999995</v>
      </c>
      <c r="J39" s="331">
        <f t="shared" si="3"/>
        <v>-0.8109739285137868</v>
      </c>
      <c r="K39" s="263">
        <f>SUM(K24:K38)</f>
        <v>364790788</v>
      </c>
      <c r="L39" s="100"/>
    </row>
    <row r="40" spans="1:12" ht="12.75" customHeight="1" x14ac:dyDescent="0.25">
      <c r="A40" s="92" t="s">
        <v>761</v>
      </c>
      <c r="B40" s="422"/>
      <c r="C40" s="243">
        <f t="shared" ref="C40:I40" si="5">C39+C21</f>
        <v>479855222.16999996</v>
      </c>
      <c r="D40" s="260">
        <f t="shared" si="5"/>
        <v>580891581</v>
      </c>
      <c r="E40" s="73">
        <f t="shared" si="5"/>
        <v>747190359.77999997</v>
      </c>
      <c r="F40" s="73">
        <f t="shared" si="5"/>
        <v>265811225.38999999</v>
      </c>
      <c r="G40" s="73">
        <f t="shared" si="5"/>
        <v>686254874.5200001</v>
      </c>
      <c r="H40" s="73">
        <f t="shared" si="5"/>
        <v>747190359.77999997</v>
      </c>
      <c r="I40" s="73">
        <f t="shared" si="5"/>
        <v>-60935485.259999901</v>
      </c>
      <c r="J40" s="331">
        <f>IF(I40=0,"",I40/H40)</f>
        <v>-8.1552825812610225E-2</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2918036</v>
      </c>
      <c r="D43" s="669">
        <f t="shared" si="6"/>
        <v>32500000</v>
      </c>
      <c r="E43" s="637">
        <f t="shared" si="6"/>
        <v>38934416</v>
      </c>
      <c r="F43" s="637">
        <f t="shared" si="6"/>
        <v>5243796.04</v>
      </c>
      <c r="G43" s="637">
        <f t="shared" si="6"/>
        <v>10576182.470000001</v>
      </c>
      <c r="H43" s="637">
        <f t="shared" si="6"/>
        <v>38934416</v>
      </c>
      <c r="I43" s="44">
        <f t="shared" ref="I43:I62" si="7">G43-H43</f>
        <v>-28358233.530000001</v>
      </c>
      <c r="J43" s="330">
        <f>IF(I43=0,"",I43/H43)</f>
        <v>-0.72835903150569925</v>
      </c>
      <c r="K43" s="641">
        <f>SUM(K44:K46)</f>
        <v>38934416</v>
      </c>
      <c r="L43" s="100"/>
    </row>
    <row r="44" spans="1:12" ht="12.75" customHeight="1" x14ac:dyDescent="0.25">
      <c r="A44" s="416" t="s">
        <v>108</v>
      </c>
      <c r="B44" s="419"/>
      <c r="C44" s="735">
        <v>646307</v>
      </c>
      <c r="D44" s="753">
        <v>5000000</v>
      </c>
      <c r="E44" s="733">
        <v>3800000</v>
      </c>
      <c r="F44" s="733"/>
      <c r="G44" s="733">
        <v>1409774.98</v>
      </c>
      <c r="H44" s="733">
        <f t="shared" ref="H44:H45" si="8">E44/12*12</f>
        <v>3800000</v>
      </c>
      <c r="I44" s="44">
        <f t="shared" si="7"/>
        <v>-2390225.02</v>
      </c>
      <c r="J44" s="330">
        <f t="shared" ref="J44:J63" si="9">IF(I44=0,"",I44/H44)</f>
        <v>-0.62900658421052635</v>
      </c>
      <c r="K44" s="735">
        <f>E44</f>
        <v>3800000</v>
      </c>
      <c r="L44" s="100"/>
    </row>
    <row r="45" spans="1:12" ht="12.75" customHeight="1" x14ac:dyDescent="0.25">
      <c r="A45" s="416" t="s">
        <v>1123</v>
      </c>
      <c r="B45" s="419"/>
      <c r="C45" s="754">
        <v>2271729</v>
      </c>
      <c r="D45" s="755">
        <v>27500000</v>
      </c>
      <c r="E45" s="756">
        <v>35134416</v>
      </c>
      <c r="F45" s="756">
        <v>5243796.04</v>
      </c>
      <c r="G45" s="756">
        <v>9166407.4900000002</v>
      </c>
      <c r="H45" s="756">
        <f t="shared" si="8"/>
        <v>35134416</v>
      </c>
      <c r="I45" s="44">
        <f t="shared" si="7"/>
        <v>-25968008.509999998</v>
      </c>
      <c r="J45" s="330">
        <f t="shared" si="9"/>
        <v>-0.73910460074247419</v>
      </c>
      <c r="K45" s="754">
        <f>E45</f>
        <v>35134416</v>
      </c>
      <c r="L45" s="100"/>
    </row>
    <row r="46" spans="1:12" ht="12.75" customHeight="1" x14ac:dyDescent="0.25">
      <c r="A46" s="416" t="s">
        <v>1134</v>
      </c>
      <c r="B46" s="419"/>
      <c r="C46" s="735"/>
      <c r="D46" s="753"/>
      <c r="E46" s="733"/>
      <c r="F46" s="733"/>
      <c r="G46" s="733"/>
      <c r="H46" s="733"/>
      <c r="I46" s="44">
        <f t="shared" si="7"/>
        <v>0</v>
      </c>
      <c r="J46" s="330" t="str">
        <f t="shared" si="9"/>
        <v/>
      </c>
      <c r="K46" s="735"/>
      <c r="L46" s="100"/>
    </row>
    <row r="47" spans="1:12" ht="12.75" customHeight="1" x14ac:dyDescent="0.25">
      <c r="A47" s="414" t="s">
        <v>109</v>
      </c>
      <c r="B47" s="419"/>
      <c r="C47" s="641">
        <f t="shared" ref="C47:H47" si="10">SUM(C48:C52)</f>
        <v>1454997.7099999278</v>
      </c>
      <c r="D47" s="669">
        <f t="shared" si="10"/>
        <v>324874092</v>
      </c>
      <c r="E47" s="637">
        <f t="shared" si="10"/>
        <v>322085541.77999997</v>
      </c>
      <c r="F47" s="637">
        <f t="shared" si="10"/>
        <v>19682947.719999999</v>
      </c>
      <c r="G47" s="637">
        <f t="shared" si="10"/>
        <v>80121834.950000003</v>
      </c>
      <c r="H47" s="637">
        <f t="shared" si="10"/>
        <v>322085541.77999997</v>
      </c>
      <c r="I47" s="44">
        <f t="shared" si="7"/>
        <v>-241963706.82999998</v>
      </c>
      <c r="J47" s="330">
        <f t="shared" si="9"/>
        <v>-0.75124051049541651</v>
      </c>
      <c r="K47" s="641">
        <f>SUM(K48:K52)</f>
        <v>322085541.77999997</v>
      </c>
      <c r="L47" s="100"/>
    </row>
    <row r="48" spans="1:12" ht="12.75" customHeight="1" x14ac:dyDescent="0.25">
      <c r="A48" s="416" t="s">
        <v>110</v>
      </c>
      <c r="B48" s="419"/>
      <c r="C48" s="735"/>
      <c r="D48" s="753">
        <v>45972000</v>
      </c>
      <c r="E48" s="733">
        <v>37482375</v>
      </c>
      <c r="F48" s="733">
        <v>3156688.8</v>
      </c>
      <c r="G48" s="733">
        <v>14120515.579999998</v>
      </c>
      <c r="H48" s="733">
        <f>E48/12*12</f>
        <v>37482375</v>
      </c>
      <c r="I48" s="44">
        <f t="shared" si="7"/>
        <v>-23361859.420000002</v>
      </c>
      <c r="J48" s="330">
        <f t="shared" si="9"/>
        <v>-0.62327585751970094</v>
      </c>
      <c r="K48" s="735">
        <f>E48</f>
        <v>37482375</v>
      </c>
      <c r="L48" s="100"/>
    </row>
    <row r="49" spans="1:12" ht="12.75" customHeight="1" x14ac:dyDescent="0.25">
      <c r="A49" s="416" t="s">
        <v>111</v>
      </c>
      <c r="B49" s="419"/>
      <c r="C49" s="735">
        <v>3374495</v>
      </c>
      <c r="D49" s="753"/>
      <c r="E49" s="733">
        <v>0</v>
      </c>
      <c r="F49" s="733">
        <v>1524390.96</v>
      </c>
      <c r="G49" s="733">
        <v>2414731.1399999997</v>
      </c>
      <c r="H49" s="733"/>
      <c r="I49" s="44">
        <f t="shared" si="7"/>
        <v>2414731.1399999997</v>
      </c>
      <c r="J49" s="330" t="e">
        <f t="shared" si="9"/>
        <v>#DIV/0!</v>
      </c>
      <c r="K49" s="735"/>
      <c r="L49" s="100"/>
    </row>
    <row r="50" spans="1:12" ht="12.75" customHeight="1" x14ac:dyDescent="0.25">
      <c r="A50" s="416" t="s">
        <v>112</v>
      </c>
      <c r="B50" s="419"/>
      <c r="C50" s="735">
        <v>-1919497.2900000722</v>
      </c>
      <c r="D50" s="753"/>
      <c r="E50" s="733">
        <v>0</v>
      </c>
      <c r="F50" s="733">
        <v>49129</v>
      </c>
      <c r="G50" s="733">
        <v>324261</v>
      </c>
      <c r="H50" s="733"/>
      <c r="I50" s="44">
        <f t="shared" si="7"/>
        <v>324261</v>
      </c>
      <c r="J50" s="330" t="e">
        <f t="shared" si="9"/>
        <v>#DIV/0!</v>
      </c>
      <c r="K50" s="735"/>
      <c r="L50" s="100"/>
    </row>
    <row r="51" spans="1:12" ht="12.75" customHeight="1" x14ac:dyDescent="0.25">
      <c r="A51" s="416" t="s">
        <v>711</v>
      </c>
      <c r="B51" s="419"/>
      <c r="C51" s="735"/>
      <c r="D51" s="753">
        <v>278902092</v>
      </c>
      <c r="E51" s="733">
        <v>284603166.77999997</v>
      </c>
      <c r="F51" s="733">
        <v>14952738.959999999</v>
      </c>
      <c r="G51" s="733">
        <v>63262327.230000004</v>
      </c>
      <c r="H51" s="733">
        <f>E51/12*12</f>
        <v>284603166.77999997</v>
      </c>
      <c r="I51" s="44">
        <f t="shared" si="7"/>
        <v>-221340839.54999995</v>
      </c>
      <c r="J51" s="330">
        <f t="shared" si="9"/>
        <v>-0.77771741633886249</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9"/>
        <v/>
      </c>
      <c r="K52" s="754"/>
      <c r="L52" s="100"/>
    </row>
    <row r="53" spans="1:12" ht="12.75" customHeight="1" x14ac:dyDescent="0.25">
      <c r="A53" s="414" t="s">
        <v>113</v>
      </c>
      <c r="B53" s="419"/>
      <c r="C53" s="641">
        <f t="shared" ref="C53:H53" si="11">SUM(C54:C56)</f>
        <v>321827707.07999998</v>
      </c>
      <c r="D53" s="669">
        <f t="shared" si="11"/>
        <v>104572064</v>
      </c>
      <c r="E53" s="637">
        <f t="shared" si="11"/>
        <v>197865670</v>
      </c>
      <c r="F53" s="637">
        <f t="shared" si="11"/>
        <v>167041122.69</v>
      </c>
      <c r="G53" s="637">
        <f t="shared" si="11"/>
        <v>365880038.40999997</v>
      </c>
      <c r="H53" s="637">
        <f t="shared" si="11"/>
        <v>197865670</v>
      </c>
      <c r="I53" s="44">
        <f t="shared" si="7"/>
        <v>168014368.40999997</v>
      </c>
      <c r="J53" s="330">
        <f t="shared" si="9"/>
        <v>0.84913349753901202</v>
      </c>
      <c r="K53" s="641">
        <f>SUM(K54:K56)</f>
        <v>197865670</v>
      </c>
      <c r="L53" s="100"/>
    </row>
    <row r="54" spans="1:12" ht="12.75" customHeight="1" x14ac:dyDescent="0.25">
      <c r="A54" s="416" t="s">
        <v>114</v>
      </c>
      <c r="B54" s="419"/>
      <c r="C54" s="735">
        <v>23844833</v>
      </c>
      <c r="D54" s="753">
        <v>13936064</v>
      </c>
      <c r="E54" s="733">
        <v>37856365</v>
      </c>
      <c r="F54" s="733">
        <v>109820238.2</v>
      </c>
      <c r="G54" s="733">
        <v>115786718.44999999</v>
      </c>
      <c r="H54" s="733">
        <f t="shared" ref="H54:H55" si="12">E54/12*12</f>
        <v>37856365</v>
      </c>
      <c r="I54" s="44">
        <f t="shared" si="7"/>
        <v>77930353.449999988</v>
      </c>
      <c r="J54" s="330">
        <f t="shared" si="9"/>
        <v>2.0585799362934076</v>
      </c>
      <c r="K54" s="735">
        <f t="shared" ref="K54:K55" si="13">E54</f>
        <v>37856365</v>
      </c>
      <c r="L54" s="100"/>
    </row>
    <row r="55" spans="1:12" ht="12.75" customHeight="1" x14ac:dyDescent="0.25">
      <c r="A55" s="416" t="s">
        <v>115</v>
      </c>
      <c r="B55" s="419"/>
      <c r="C55" s="735">
        <v>297722791.07999998</v>
      </c>
      <c r="D55" s="753">
        <v>90636000</v>
      </c>
      <c r="E55" s="733">
        <v>160009305</v>
      </c>
      <c r="F55" s="733">
        <v>57220884.49000001</v>
      </c>
      <c r="G55" s="733">
        <v>250093319.95999998</v>
      </c>
      <c r="H55" s="733">
        <f t="shared" si="12"/>
        <v>160009305</v>
      </c>
      <c r="I55" s="44">
        <f t="shared" si="7"/>
        <v>90084014.959999979</v>
      </c>
      <c r="J55" s="330">
        <f t="shared" si="9"/>
        <v>0.56299235197603026</v>
      </c>
      <c r="K55" s="735">
        <f t="shared" si="13"/>
        <v>160009305</v>
      </c>
      <c r="L55" s="100"/>
    </row>
    <row r="56" spans="1:12" ht="12.75" customHeight="1" x14ac:dyDescent="0.25">
      <c r="A56" s="416" t="s">
        <v>116</v>
      </c>
      <c r="B56" s="419"/>
      <c r="C56" s="735">
        <v>260083</v>
      </c>
      <c r="D56" s="753"/>
      <c r="E56" s="733"/>
      <c r="F56" s="733"/>
      <c r="G56" s="733"/>
      <c r="H56" s="733"/>
      <c r="I56" s="44">
        <f t="shared" si="7"/>
        <v>0</v>
      </c>
      <c r="J56" s="330" t="str">
        <f t="shared" si="9"/>
        <v/>
      </c>
      <c r="K56" s="735"/>
      <c r="L56" s="100"/>
    </row>
    <row r="57" spans="1:12" ht="12.75" customHeight="1" x14ac:dyDescent="0.25">
      <c r="A57" s="414" t="s">
        <v>117</v>
      </c>
      <c r="B57" s="419"/>
      <c r="C57" s="641">
        <f t="shared" ref="C57:H57" si="14">SUM(C58:C61)</f>
        <v>153654177.97</v>
      </c>
      <c r="D57" s="669">
        <f t="shared" si="14"/>
        <v>103769000</v>
      </c>
      <c r="E57" s="637">
        <f t="shared" si="14"/>
        <v>185657098</v>
      </c>
      <c r="F57" s="637">
        <f t="shared" si="14"/>
        <v>73708308.939999998</v>
      </c>
      <c r="G57" s="637">
        <f t="shared" si="14"/>
        <v>227503654.91999999</v>
      </c>
      <c r="H57" s="637">
        <f t="shared" si="14"/>
        <v>185657098</v>
      </c>
      <c r="I57" s="44">
        <f t="shared" si="7"/>
        <v>41846556.919999987</v>
      </c>
      <c r="J57" s="330">
        <f t="shared" si="9"/>
        <v>0.22539702155637478</v>
      </c>
      <c r="K57" s="641">
        <f>SUM(K58:K61)</f>
        <v>185657098</v>
      </c>
      <c r="L57" s="100"/>
    </row>
    <row r="58" spans="1:12" ht="12.75" customHeight="1" x14ac:dyDescent="0.25">
      <c r="A58" s="416" t="s">
        <v>1191</v>
      </c>
      <c r="B58" s="419"/>
      <c r="C58" s="735">
        <v>47652373.969999999</v>
      </c>
      <c r="D58" s="753">
        <v>12500000</v>
      </c>
      <c r="E58" s="733">
        <v>16134330</v>
      </c>
      <c r="F58" s="733">
        <v>33348035.580000002</v>
      </c>
      <c r="G58" s="733">
        <v>51098608.880000003</v>
      </c>
      <c r="H58" s="733">
        <f t="shared" ref="H58:H62" si="15">E58/12*12</f>
        <v>16134330</v>
      </c>
      <c r="I58" s="44">
        <f t="shared" si="7"/>
        <v>34964278.880000003</v>
      </c>
      <c r="J58" s="330">
        <f t="shared" si="9"/>
        <v>2.167073493600292</v>
      </c>
      <c r="K58" s="735">
        <f t="shared" ref="K58:K62" si="16">E58</f>
        <v>16134330</v>
      </c>
      <c r="L58" s="100"/>
    </row>
    <row r="59" spans="1:12" ht="12.75" customHeight="1" x14ac:dyDescent="0.25">
      <c r="A59" s="416" t="s">
        <v>1195</v>
      </c>
      <c r="B59" s="419"/>
      <c r="C59" s="735">
        <v>74706096</v>
      </c>
      <c r="D59" s="753">
        <v>59255000</v>
      </c>
      <c r="E59" s="733">
        <v>68660397</v>
      </c>
      <c r="F59" s="733">
        <v>21698650.640000001</v>
      </c>
      <c r="G59" s="733">
        <v>78159404.5</v>
      </c>
      <c r="H59" s="733">
        <f t="shared" si="15"/>
        <v>68660397</v>
      </c>
      <c r="I59" s="44">
        <f t="shared" si="7"/>
        <v>9499007.5</v>
      </c>
      <c r="J59" s="330">
        <f t="shared" si="9"/>
        <v>0.13834769262985763</v>
      </c>
      <c r="K59" s="735">
        <f t="shared" si="16"/>
        <v>68660397</v>
      </c>
      <c r="L59" s="100"/>
    </row>
    <row r="60" spans="1:12" ht="12.75" customHeight="1" x14ac:dyDescent="0.25">
      <c r="A60" s="416" t="s">
        <v>118</v>
      </c>
      <c r="B60" s="419"/>
      <c r="C60" s="754">
        <v>23360737</v>
      </c>
      <c r="D60" s="755">
        <v>27514000</v>
      </c>
      <c r="E60" s="756">
        <v>73099946</v>
      </c>
      <c r="F60" s="756">
        <v>13855343.189999999</v>
      </c>
      <c r="G60" s="756">
        <v>75993641.629999995</v>
      </c>
      <c r="H60" s="756">
        <f t="shared" si="15"/>
        <v>73099946</v>
      </c>
      <c r="I60" s="44">
        <f t="shared" si="7"/>
        <v>2893695.6299999952</v>
      </c>
      <c r="J60" s="330">
        <f t="shared" si="9"/>
        <v>3.9585468777227212E-2</v>
      </c>
      <c r="K60" s="754">
        <f t="shared" si="16"/>
        <v>73099946</v>
      </c>
      <c r="L60" s="100"/>
    </row>
    <row r="61" spans="1:12" ht="12.75" customHeight="1" x14ac:dyDescent="0.25">
      <c r="A61" s="416" t="s">
        <v>119</v>
      </c>
      <c r="B61" s="419"/>
      <c r="C61" s="735">
        <v>7934971</v>
      </c>
      <c r="D61" s="753">
        <v>4500000</v>
      </c>
      <c r="E61" s="733">
        <v>27762425</v>
      </c>
      <c r="F61" s="733">
        <v>4806279.53</v>
      </c>
      <c r="G61" s="733">
        <v>22251999.91</v>
      </c>
      <c r="H61" s="733">
        <f t="shared" si="15"/>
        <v>27762425</v>
      </c>
      <c r="I61" s="44">
        <f t="shared" si="7"/>
        <v>-5510425.0899999999</v>
      </c>
      <c r="J61" s="330">
        <f t="shared" si="9"/>
        <v>-0.19848500590276244</v>
      </c>
      <c r="K61" s="735">
        <f t="shared" si="16"/>
        <v>27762425</v>
      </c>
      <c r="L61" s="100"/>
    </row>
    <row r="62" spans="1:12" ht="12.75" customHeight="1" x14ac:dyDescent="0.25">
      <c r="A62" s="414" t="s">
        <v>718</v>
      </c>
      <c r="B62" s="419"/>
      <c r="C62" s="735"/>
      <c r="D62" s="753">
        <v>2500000</v>
      </c>
      <c r="E62" s="733">
        <v>2647634</v>
      </c>
      <c r="F62" s="733">
        <v>135050</v>
      </c>
      <c r="G62" s="733">
        <v>2173163.77</v>
      </c>
      <c r="H62" s="733">
        <f t="shared" si="15"/>
        <v>2647634</v>
      </c>
      <c r="I62" s="44">
        <f t="shared" si="7"/>
        <v>-474470.23</v>
      </c>
      <c r="J62" s="330">
        <f t="shared" si="9"/>
        <v>-0.17920536977542967</v>
      </c>
      <c r="K62" s="735">
        <f t="shared" si="16"/>
        <v>2647634</v>
      </c>
      <c r="L62" s="100"/>
    </row>
    <row r="63" spans="1:12" ht="12.75" customHeight="1" x14ac:dyDescent="0.25">
      <c r="A63" s="537" t="s">
        <v>1213</v>
      </c>
      <c r="B63" s="539">
        <v>3</v>
      </c>
      <c r="C63" s="540">
        <f>C43+C47+C53+C57+C62</f>
        <v>479854918.75999987</v>
      </c>
      <c r="D63" s="541">
        <f t="shared" ref="D63:I63" si="17">D43+D47+D53+D57+D62</f>
        <v>568215156</v>
      </c>
      <c r="E63" s="478">
        <f t="shared" si="17"/>
        <v>747190359.77999997</v>
      </c>
      <c r="F63" s="478">
        <f t="shared" si="17"/>
        <v>265811225.38999999</v>
      </c>
      <c r="G63" s="478">
        <f t="shared" si="17"/>
        <v>686254874.51999998</v>
      </c>
      <c r="H63" s="478">
        <f t="shared" si="17"/>
        <v>747190359.77999997</v>
      </c>
      <c r="I63" s="478">
        <f t="shared" si="17"/>
        <v>-60935485.260000058</v>
      </c>
      <c r="J63" s="542">
        <f t="shared" si="9"/>
        <v>-8.1552825812610433E-2</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312943688</v>
      </c>
      <c r="D66" s="753">
        <v>255267424.99999985</v>
      </c>
      <c r="E66" s="733">
        <v>308119500.77999997</v>
      </c>
      <c r="F66" s="733">
        <v>81025461.209999979</v>
      </c>
      <c r="G66" s="733">
        <v>397216558.00999999</v>
      </c>
      <c r="H66" s="733">
        <f t="shared" ref="H66:H67" si="18">E66/12*12</f>
        <v>308119500.77999997</v>
      </c>
      <c r="I66" s="44">
        <f t="shared" ref="I66:I74" si="19">G66-H66</f>
        <v>89097057.230000019</v>
      </c>
      <c r="J66" s="330">
        <f t="shared" ref="J66:J74" si="20">IF(I66=0,"",I66/H66)</f>
        <v>0.2891639672414506</v>
      </c>
      <c r="K66" s="735">
        <f t="shared" ref="K66:K67" si="21">E66</f>
        <v>308119500.77999997</v>
      </c>
      <c r="L66" s="100"/>
    </row>
    <row r="67" spans="1:12" ht="12.75" customHeight="1" x14ac:dyDescent="0.25">
      <c r="A67" s="107" t="s">
        <v>603</v>
      </c>
      <c r="B67" s="169"/>
      <c r="C67" s="748">
        <v>76188437</v>
      </c>
      <c r="D67" s="753">
        <v>270624156</v>
      </c>
      <c r="E67" s="733">
        <v>340486443</v>
      </c>
      <c r="F67" s="733">
        <v>113032567.28</v>
      </c>
      <c r="G67" s="733">
        <v>166778561.69999999</v>
      </c>
      <c r="H67" s="733">
        <f t="shared" si="18"/>
        <v>340486443</v>
      </c>
      <c r="I67" s="44">
        <f t="shared" si="19"/>
        <v>-173707881.30000001</v>
      </c>
      <c r="J67" s="330">
        <f t="shared" si="20"/>
        <v>-0.51017561747678752</v>
      </c>
      <c r="K67" s="735">
        <f t="shared" si="21"/>
        <v>340486443</v>
      </c>
      <c r="L67" s="100"/>
    </row>
    <row r="68" spans="1:12" ht="12.75" customHeight="1" x14ac:dyDescent="0.25">
      <c r="A68" s="107" t="s">
        <v>604</v>
      </c>
      <c r="B68" s="169"/>
      <c r="C68" s="748"/>
      <c r="D68" s="753"/>
      <c r="E68" s="733"/>
      <c r="F68" s="733"/>
      <c r="G68" s="733"/>
      <c r="H68" s="733"/>
      <c r="I68" s="44">
        <f t="shared" si="19"/>
        <v>0</v>
      </c>
      <c r="J68" s="330" t="str">
        <f t="shared" si="20"/>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9"/>
        <v>0</v>
      </c>
      <c r="J69" s="335" t="str">
        <f t="shared" si="20"/>
        <v/>
      </c>
      <c r="K69" s="752"/>
      <c r="L69" s="100"/>
    </row>
    <row r="70" spans="1:12" ht="12.75" customHeight="1" x14ac:dyDescent="0.25">
      <c r="A70" s="692" t="s">
        <v>959</v>
      </c>
      <c r="B70" s="169"/>
      <c r="C70" s="109">
        <f t="shared" ref="C70:H70" si="22">SUM(C66:C69)</f>
        <v>389132125</v>
      </c>
      <c r="D70" s="259">
        <f t="shared" si="22"/>
        <v>525891580.99999988</v>
      </c>
      <c r="E70" s="50">
        <f t="shared" si="22"/>
        <v>648605943.77999997</v>
      </c>
      <c r="F70" s="50">
        <f t="shared" si="22"/>
        <v>194058028.48999998</v>
      </c>
      <c r="G70" s="50">
        <f t="shared" si="22"/>
        <v>563995119.71000004</v>
      </c>
      <c r="H70" s="50">
        <f t="shared" si="22"/>
        <v>648605943.77999997</v>
      </c>
      <c r="I70" s="50">
        <f t="shared" si="19"/>
        <v>-84610824.069999933</v>
      </c>
      <c r="J70" s="146">
        <f t="shared" si="20"/>
        <v>-0.13045027551998351</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v>4229818.17</v>
      </c>
      <c r="D72" s="753"/>
      <c r="E72" s="733"/>
      <c r="F72" s="733"/>
      <c r="G72" s="733"/>
      <c r="H72" s="733"/>
      <c r="I72" s="44">
        <f t="shared" si="19"/>
        <v>0</v>
      </c>
      <c r="J72" s="330" t="str">
        <f t="shared" si="20"/>
        <v/>
      </c>
      <c r="K72" s="735"/>
      <c r="L72" s="100"/>
    </row>
    <row r="73" spans="1:12" ht="12.75" customHeight="1" x14ac:dyDescent="0.25">
      <c r="A73" s="106" t="s">
        <v>472</v>
      </c>
      <c r="B73" s="248"/>
      <c r="C73" s="749">
        <v>86493279</v>
      </c>
      <c r="D73" s="757">
        <v>55000000</v>
      </c>
      <c r="E73" s="751">
        <v>98584414</v>
      </c>
      <c r="F73" s="751">
        <v>71704067.899999991</v>
      </c>
      <c r="G73" s="751">
        <v>121935493.81000002</v>
      </c>
      <c r="H73" s="751">
        <f>E73/12*12</f>
        <v>98584414</v>
      </c>
      <c r="I73" s="99">
        <f t="shared" si="19"/>
        <v>23351079.810000017</v>
      </c>
      <c r="J73" s="335">
        <f t="shared" si="20"/>
        <v>0.23686380901954762</v>
      </c>
      <c r="K73" s="752">
        <f>E73</f>
        <v>98584414</v>
      </c>
      <c r="L73" s="100"/>
    </row>
    <row r="74" spans="1:12" ht="12.75" customHeight="1" x14ac:dyDescent="0.25">
      <c r="A74" s="538" t="s">
        <v>892</v>
      </c>
      <c r="B74" s="119"/>
      <c r="C74" s="244">
        <f t="shared" ref="C74:H74" si="23">+C70+C72+C73</f>
        <v>479855222.17000002</v>
      </c>
      <c r="D74" s="265">
        <f t="shared" si="23"/>
        <v>580891580.99999988</v>
      </c>
      <c r="E74" s="76">
        <f t="shared" si="23"/>
        <v>747190357.77999997</v>
      </c>
      <c r="F74" s="76">
        <f t="shared" si="23"/>
        <v>265762096.38999999</v>
      </c>
      <c r="G74" s="76">
        <f t="shared" si="23"/>
        <v>685930613.5200001</v>
      </c>
      <c r="H74" s="76">
        <f t="shared" si="23"/>
        <v>747190357.77999997</v>
      </c>
      <c r="I74" s="76">
        <f t="shared" si="19"/>
        <v>-61259744.259999871</v>
      </c>
      <c r="J74" s="333">
        <f t="shared" si="20"/>
        <v>-8.1986797102160905E-2</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7" t="s">
        <v>143</v>
      </c>
      <c r="B77" s="1057"/>
      <c r="C77" s="1057"/>
      <c r="D77" s="1057"/>
      <c r="E77" s="1057"/>
      <c r="F77" s="1057"/>
      <c r="G77" s="1057"/>
      <c r="H77" s="1057"/>
      <c r="I77" s="1057"/>
      <c r="J77" s="1057"/>
      <c r="K77" s="1057"/>
    </row>
    <row r="78" spans="1:12" ht="12" customHeight="1" x14ac:dyDescent="0.25">
      <c r="A78" s="1057" t="s">
        <v>1215</v>
      </c>
      <c r="B78" s="1057"/>
      <c r="C78" s="1057"/>
      <c r="D78" s="1057"/>
      <c r="E78" s="1057"/>
      <c r="F78" s="1057"/>
      <c r="G78" s="1057"/>
      <c r="H78" s="1057"/>
      <c r="I78" s="1057"/>
      <c r="J78" s="1057"/>
      <c r="K78" s="1057"/>
    </row>
    <row r="79" spans="1:12" ht="12" customHeight="1" x14ac:dyDescent="0.25">
      <c r="A79" s="1058" t="s">
        <v>524</v>
      </c>
      <c r="B79" s="1057"/>
      <c r="C79" s="1057"/>
      <c r="D79" s="1057"/>
      <c r="E79" s="1057"/>
      <c r="F79" s="1057"/>
      <c r="G79" s="1057"/>
      <c r="H79" s="1057"/>
      <c r="I79" s="1057"/>
      <c r="J79" s="1057"/>
      <c r="K79" s="1057"/>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4">D40-D74</f>
        <v>0</v>
      </c>
      <c r="E86" s="693">
        <f t="shared" si="24"/>
        <v>2</v>
      </c>
      <c r="F86" s="693">
        <f t="shared" si="24"/>
        <v>49129</v>
      </c>
      <c r="G86" s="693">
        <f t="shared" si="24"/>
        <v>324261</v>
      </c>
      <c r="H86" s="693">
        <f t="shared" si="24"/>
        <v>2</v>
      </c>
      <c r="I86" s="693"/>
      <c r="J86" s="693"/>
      <c r="K86" s="693">
        <f t="shared" si="24"/>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s="25" customFormat="1" ht="11.25" customHeight="1" x14ac:dyDescent="0.25"/>
    <row r="98" s="25" customFormat="1" ht="11.25" customHeight="1" x14ac:dyDescent="0.25"/>
    <row r="99" s="25" customFormat="1" ht="11.25" customHeight="1" x14ac:dyDescent="0.25"/>
    <row r="100" s="25" customFormat="1" ht="11.25" customHeight="1" x14ac:dyDescent="0.25"/>
    <row r="101" s="25" customFormat="1" ht="11.25" customHeight="1" x14ac:dyDescent="0.25"/>
    <row r="102" s="25" customFormat="1" ht="11.25" customHeight="1" x14ac:dyDescent="0.25"/>
    <row r="103" s="25" customFormat="1" ht="11.25" customHeight="1" x14ac:dyDescent="0.25"/>
    <row r="104" s="25" customFormat="1" ht="11.25" customHeight="1" x14ac:dyDescent="0.25"/>
    <row r="105" s="25" customFormat="1" ht="11.25" customHeight="1" x14ac:dyDescent="0.25"/>
    <row r="106" s="25" customFormat="1" ht="11.25" customHeight="1" x14ac:dyDescent="0.25"/>
    <row r="107" s="25" customFormat="1" ht="11.25" customHeight="1" x14ac:dyDescent="0.25"/>
    <row r="108" s="25" customFormat="1" ht="11.25" customHeight="1" x14ac:dyDescent="0.25"/>
    <row r="109" s="25" customFormat="1" ht="11.25" customHeight="1" x14ac:dyDescent="0.25"/>
    <row r="110" s="25" customFormat="1" ht="11.25" customHeight="1" x14ac:dyDescent="0.25"/>
    <row r="111" s="25" customFormat="1" ht="11.25" customHeight="1" x14ac:dyDescent="0.25"/>
    <row r="112" s="25" customFormat="1" ht="11.25" customHeight="1" x14ac:dyDescent="0.25"/>
    <row r="113" s="25" customFormat="1" ht="11.25" customHeight="1" x14ac:dyDescent="0.25"/>
    <row r="114" s="25" customFormat="1" ht="11.25" customHeight="1" x14ac:dyDescent="0.25"/>
    <row r="115" s="25" customFormat="1" ht="11.25" customHeight="1" x14ac:dyDescent="0.25"/>
    <row r="116" s="25" customFormat="1" ht="11.25" customHeight="1" x14ac:dyDescent="0.25"/>
    <row r="117" s="25" customFormat="1" ht="11.25" customHeight="1" x14ac:dyDescent="0.25"/>
    <row r="118" s="25" customFormat="1" ht="11.25" customHeight="1" x14ac:dyDescent="0.25"/>
    <row r="119" s="25" customFormat="1" ht="11.25" customHeight="1" x14ac:dyDescent="0.25"/>
    <row r="120" s="25" customFormat="1" ht="11.25" customHeight="1" x14ac:dyDescent="0.25"/>
    <row r="121" s="25" customFormat="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45" activePane="bottomRight" state="frozen"/>
      <selection pane="topRight"/>
      <selection pane="bottomLeft"/>
      <selection pane="bottomRight" activeCell="G204" sqref="G204:H204"/>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7" t="str">
        <f>muni&amp; " - "&amp;S71D&amp; " - "&amp;"A"&amp; " - "&amp;date</f>
        <v>KZN225 Msunduzi - Table C5 Consolidated Monthly Budget Statement - Capital Expenditure (municipal vote, functional classification and funding  - A - Q4 Fourth Quarter</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646307</v>
      </c>
      <c r="D7" s="444">
        <f t="shared" si="0"/>
        <v>3800000</v>
      </c>
      <c r="E7" s="441">
        <f t="shared" si="0"/>
        <v>2300000</v>
      </c>
      <c r="F7" s="443">
        <f t="shared" si="0"/>
        <v>0</v>
      </c>
      <c r="G7" s="441">
        <f t="shared" si="0"/>
        <v>0</v>
      </c>
      <c r="H7" s="443">
        <f t="shared" si="0"/>
        <v>2300000</v>
      </c>
      <c r="I7" s="50">
        <f t="shared" ref="I7:I43" si="1">G7-H7</f>
        <v>-2300000</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E9/12*12</f>
        <v>2300000</v>
      </c>
      <c r="I9" s="44">
        <f t="shared" si="1"/>
        <v>-2300000</v>
      </c>
      <c r="J9" s="330">
        <f t="shared" si="2"/>
        <v>-1</v>
      </c>
      <c r="K9" s="743">
        <f t="shared" ref="K9" si="3">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v>646307</v>
      </c>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9184603</v>
      </c>
      <c r="D12" s="444">
        <f t="shared" si="4"/>
        <v>12500000</v>
      </c>
      <c r="E12" s="441">
        <f t="shared" si="4"/>
        <v>4720000</v>
      </c>
      <c r="F12" s="443">
        <f t="shared" si="4"/>
        <v>48708.54</v>
      </c>
      <c r="G12" s="441">
        <f t="shared" si="4"/>
        <v>280940.55</v>
      </c>
      <c r="H12" s="443">
        <f t="shared" si="4"/>
        <v>4720000</v>
      </c>
      <c r="I12" s="44">
        <f t="shared" si="1"/>
        <v>-4439059.45</v>
      </c>
      <c r="J12" s="330">
        <f t="shared" si="2"/>
        <v>-0.9404786970338983</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v>9184603</v>
      </c>
      <c r="D14" s="740">
        <v>12500000</v>
      </c>
      <c r="E14" s="741">
        <v>4720000</v>
      </c>
      <c r="F14" s="742"/>
      <c r="G14" s="741"/>
      <c r="H14" s="742">
        <f>E14/12*12</f>
        <v>4720000</v>
      </c>
      <c r="I14" s="44">
        <f t="shared" si="1"/>
        <v>-4720000</v>
      </c>
      <c r="J14" s="330">
        <f t="shared" si="2"/>
        <v>-1</v>
      </c>
      <c r="K14" s="743">
        <f t="shared" ref="K14" si="5">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v>48708.54</v>
      </c>
      <c r="G17" s="741">
        <v>280940.55</v>
      </c>
      <c r="H17" s="742"/>
      <c r="I17" s="44">
        <f t="shared" si="1"/>
        <v>280940.55</v>
      </c>
      <c r="J17" s="330" t="e">
        <f t="shared" si="2"/>
        <v>#DIV/0!</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12745198</v>
      </c>
      <c r="D18" s="444">
        <f t="shared" si="6"/>
        <v>23812425</v>
      </c>
      <c r="E18" s="441">
        <f t="shared" si="6"/>
        <v>46120040</v>
      </c>
      <c r="F18" s="443">
        <f t="shared" si="6"/>
        <v>5780249.4199999999</v>
      </c>
      <c r="G18" s="441">
        <f t="shared" si="6"/>
        <v>11874375.710000001</v>
      </c>
      <c r="H18" s="443">
        <f t="shared" si="6"/>
        <v>46120040</v>
      </c>
      <c r="I18" s="44">
        <f t="shared" si="1"/>
        <v>-34245664.289999999</v>
      </c>
      <c r="J18" s="330">
        <f t="shared" si="2"/>
        <v>-0.74253327382196543</v>
      </c>
      <c r="K18" s="442">
        <f>SUM(K19:K22)</f>
        <v>46120040</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v>260083</v>
      </c>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v>1175649</v>
      </c>
      <c r="D20" s="740"/>
      <c r="E20" s="741"/>
      <c r="F20" s="742">
        <v>-300000</v>
      </c>
      <c r="G20" s="741">
        <v>-300000</v>
      </c>
      <c r="H20" s="742"/>
      <c r="I20" s="44">
        <f t="shared" si="1"/>
        <v>-300000</v>
      </c>
      <c r="J20" s="330" t="e">
        <f t="shared" si="2"/>
        <v>#DIV/0!</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v>3374495</v>
      </c>
      <c r="D21" s="740">
        <v>7000000</v>
      </c>
      <c r="E21" s="741">
        <v>23320040</v>
      </c>
      <c r="F21" s="742">
        <v>3282338.42</v>
      </c>
      <c r="G21" s="741">
        <v>4358396.71</v>
      </c>
      <c r="H21" s="742">
        <f t="shared" ref="H21:H22" si="7">E21/12*12</f>
        <v>23320040</v>
      </c>
      <c r="I21" s="44">
        <f t="shared" si="1"/>
        <v>-18961643.289999999</v>
      </c>
      <c r="J21" s="330">
        <f t="shared" si="2"/>
        <v>-0.813105092872911</v>
      </c>
      <c r="K21" s="743">
        <f t="shared" ref="K21:K22" si="8">E21</f>
        <v>23320040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v>7934971</v>
      </c>
      <c r="D22" s="740">
        <v>16812425</v>
      </c>
      <c r="E22" s="741">
        <v>22800000</v>
      </c>
      <c r="F22" s="742">
        <v>2797911</v>
      </c>
      <c r="G22" s="741">
        <v>7815979</v>
      </c>
      <c r="H22" s="742">
        <f t="shared" si="7"/>
        <v>22800000</v>
      </c>
      <c r="I22" s="44">
        <f t="shared" si="1"/>
        <v>-14984021</v>
      </c>
      <c r="J22" s="330">
        <f t="shared" si="2"/>
        <v>-0.65719390350877194</v>
      </c>
      <c r="K22" s="743">
        <f t="shared" si="8"/>
        <v>22800000</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SUM(C24:C27)</f>
        <v>-6912874</v>
      </c>
      <c r="D23" s="444">
        <f t="shared" ref="D23:H23" si="9">SUM(D24:D28)</f>
        <v>0</v>
      </c>
      <c r="E23" s="441">
        <f t="shared" si="9"/>
        <v>1970000</v>
      </c>
      <c r="F23" s="443">
        <f t="shared" si="9"/>
        <v>0</v>
      </c>
      <c r="G23" s="441">
        <f t="shared" si="9"/>
        <v>0</v>
      </c>
      <c r="H23" s="443">
        <f t="shared" si="9"/>
        <v>1970000</v>
      </c>
      <c r="I23" s="44">
        <f t="shared" si="1"/>
        <v>-1970000</v>
      </c>
      <c r="J23" s="330">
        <f t="shared" si="2"/>
        <v>-1</v>
      </c>
      <c r="K23" s="442">
        <f>SUM(K24:K28)</f>
        <v>1970000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v>153990</v>
      </c>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v>-7251520</v>
      </c>
      <c r="D25" s="740"/>
      <c r="E25" s="741">
        <v>1970000</v>
      </c>
      <c r="F25" s="742"/>
      <c r="G25" s="741"/>
      <c r="H25" s="742">
        <f>E25/12*12</f>
        <v>1970000</v>
      </c>
      <c r="I25" s="44">
        <f t="shared" si="1"/>
        <v>-1970000</v>
      </c>
      <c r="J25" s="330">
        <f t="shared" si="2"/>
        <v>-1</v>
      </c>
      <c r="K25" s="743">
        <f t="shared" ref="K25" si="10">E25</f>
        <v>1970000</v>
      </c>
      <c r="L25" s="424"/>
      <c r="M25" s="38"/>
      <c r="N25" s="38"/>
      <c r="O25" s="38"/>
      <c r="P25" s="38"/>
      <c r="Q25" s="38"/>
      <c r="R25" s="38"/>
      <c r="S25" s="38"/>
      <c r="T25" s="38"/>
      <c r="U25" s="38"/>
      <c r="V25" s="38"/>
      <c r="W25" s="38"/>
    </row>
    <row r="26" spans="1:23" ht="11.25" customHeight="1" x14ac:dyDescent="0.25">
      <c r="A26" s="407" t="str">
        <f>'Org structure'!E38</f>
        <v>4.3 - Legal Services</v>
      </c>
      <c r="B26" s="445"/>
      <c r="C26" s="739">
        <v>0</v>
      </c>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v>184656</v>
      </c>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1">SUM(C30:C34)</f>
        <v>354424144.07999998</v>
      </c>
      <c r="D29" s="444">
        <f t="shared" si="11"/>
        <v>168455000</v>
      </c>
      <c r="E29" s="441">
        <f t="shared" si="11"/>
        <v>7780000</v>
      </c>
      <c r="F29" s="443">
        <f t="shared" si="11"/>
        <v>115378688.47</v>
      </c>
      <c r="G29" s="441">
        <f t="shared" si="11"/>
        <v>427478277.36000001</v>
      </c>
      <c r="H29" s="443">
        <f t="shared" si="11"/>
        <v>7780000</v>
      </c>
      <c r="I29" s="44">
        <f t="shared" si="1"/>
        <v>419698277.36000001</v>
      </c>
      <c r="J29" s="330">
        <f t="shared" si="2"/>
        <v>53.945794005141387</v>
      </c>
      <c r="K29" s="442">
        <f>SUM(K30:K34)</f>
        <v>7780000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v>33332616</v>
      </c>
      <c r="D30" s="740"/>
      <c r="E30" s="741">
        <v>7780000</v>
      </c>
      <c r="F30" s="742">
        <v>22618026.75</v>
      </c>
      <c r="G30" s="741">
        <v>25764904.050000001</v>
      </c>
      <c r="H30" s="742">
        <f>E30/12*12</f>
        <v>7780000</v>
      </c>
      <c r="I30" s="44">
        <f t="shared" si="1"/>
        <v>17984904.050000001</v>
      </c>
      <c r="J30" s="330">
        <f t="shared" si="2"/>
        <v>2.3116843251928021</v>
      </c>
      <c r="K30" s="743">
        <f t="shared" ref="K30" si="12">E30</f>
        <v>7780000</v>
      </c>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v>297722791.07999998</v>
      </c>
      <c r="D32" s="740">
        <v>55700000</v>
      </c>
      <c r="E32" s="741"/>
      <c r="F32" s="742">
        <v>57206667.890000001</v>
      </c>
      <c r="G32" s="741">
        <v>247560327.18000001</v>
      </c>
      <c r="H32" s="742"/>
      <c r="I32" s="44">
        <f t="shared" si="1"/>
        <v>247560327.18000001</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v>23368737</v>
      </c>
      <c r="D33" s="740">
        <v>112755000</v>
      </c>
      <c r="E33" s="741"/>
      <c r="F33" s="742">
        <v>35553993.829999998</v>
      </c>
      <c r="G33" s="741">
        <v>154153046.13</v>
      </c>
      <c r="H33" s="742"/>
      <c r="I33" s="44">
        <f t="shared" si="1"/>
        <v>154153046.13</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109767844.09</v>
      </c>
      <c r="D35" s="444">
        <f t="shared" si="13"/>
        <v>300600156</v>
      </c>
      <c r="E35" s="441">
        <f t="shared" si="13"/>
        <v>319509531.77999997</v>
      </c>
      <c r="F35" s="443">
        <f t="shared" si="13"/>
        <v>124479778.44999999</v>
      </c>
      <c r="G35" s="441">
        <f t="shared" si="13"/>
        <v>177666311.33000001</v>
      </c>
      <c r="H35" s="443">
        <f t="shared" si="13"/>
        <v>319509531.77999997</v>
      </c>
      <c r="I35" s="44">
        <f t="shared" si="1"/>
        <v>-141843220.44999996</v>
      </c>
      <c r="J35" s="330">
        <f t="shared" si="2"/>
        <v>-0.44394049736102048</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v>8711868.0899999999</v>
      </c>
      <c r="D36" s="740">
        <v>10212000</v>
      </c>
      <c r="E36" s="741">
        <v>2500000</v>
      </c>
      <c r="F36" s="742"/>
      <c r="G36" s="741"/>
      <c r="H36" s="742">
        <f t="shared" ref="H36:H39" si="14">E36/12*12</f>
        <v>2500000</v>
      </c>
      <c r="I36" s="44">
        <f t="shared" si="1"/>
        <v>-2500000</v>
      </c>
      <c r="J36" s="330">
        <f t="shared" si="2"/>
        <v>-1</v>
      </c>
      <c r="K36" s="743">
        <f t="shared" ref="K36:K39" si="15">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v>10337001</v>
      </c>
      <c r="D37" s="740">
        <v>35000000</v>
      </c>
      <c r="E37" s="741">
        <v>20224298</v>
      </c>
      <c r="F37" s="742">
        <v>12324692.189999999</v>
      </c>
      <c r="G37" s="741">
        <v>16004175.649999999</v>
      </c>
      <c r="H37" s="742">
        <f t="shared" si="14"/>
        <v>20224298</v>
      </c>
      <c r="I37" s="44">
        <f t="shared" si="1"/>
        <v>-4220122.3500000015</v>
      </c>
      <c r="J37" s="330">
        <f t="shared" si="2"/>
        <v>-0.20866594974025807</v>
      </c>
      <c r="K37" s="743">
        <f t="shared" si="15"/>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v>66874142</v>
      </c>
      <c r="D38" s="740">
        <v>255388156</v>
      </c>
      <c r="E38" s="741">
        <v>279353166.77999997</v>
      </c>
      <c r="F38" s="742">
        <v>14686352.07</v>
      </c>
      <c r="G38" s="741">
        <v>62749373.640000008</v>
      </c>
      <c r="H38" s="742">
        <f t="shared" si="14"/>
        <v>279353166.77999997</v>
      </c>
      <c r="I38" s="44">
        <f t="shared" si="1"/>
        <v>-216603793.13999996</v>
      </c>
      <c r="J38" s="330">
        <f t="shared" si="2"/>
        <v>-0.77537618648362316</v>
      </c>
      <c r="K38" s="743">
        <f t="shared" si="15"/>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v>23844833</v>
      </c>
      <c r="D39" s="740"/>
      <c r="E39" s="741">
        <v>17432067</v>
      </c>
      <c r="F39" s="742">
        <v>97468734.189999998</v>
      </c>
      <c r="G39" s="741">
        <v>98912762.040000007</v>
      </c>
      <c r="H39" s="742">
        <f t="shared" si="14"/>
        <v>17432067</v>
      </c>
      <c r="I39" s="44">
        <f t="shared" si="1"/>
        <v>81480695.040000007</v>
      </c>
      <c r="J39" s="330">
        <f t="shared" si="2"/>
        <v>4.6741843660880837</v>
      </c>
      <c r="K39" s="743">
        <f t="shared" si="15"/>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479855222.16999996</v>
      </c>
      <c r="D145" s="451">
        <f>D7+D12+D18+D23+D29+D35</f>
        <v>509167581</v>
      </c>
      <c r="E145" s="448">
        <f>E7+E12+E18+E23+E29+E35+E46+E57+E68+E79+E90+E101+E112+E123+E134</f>
        <v>382399571.77999997</v>
      </c>
      <c r="F145" s="450">
        <f>F7+F12+F18+F23+F29+F35+F46+F57+F68+F79+F90+F101+F112+F123+F134</f>
        <v>245687424.88</v>
      </c>
      <c r="G145" s="448">
        <f>G7+G12+G18+G23+G29+G35+G46+G57+G68+G79+G90+G101+G112+G123+G134</f>
        <v>617299904.95000005</v>
      </c>
      <c r="H145" s="450">
        <f>H7+H12+H18+H23+H29+H35+H46+H57+H68+H79+H90+H101+H112+H123+H134</f>
        <v>382399571.77999997</v>
      </c>
      <c r="I145" s="514">
        <f t="shared" si="24"/>
        <v>234900333.17000008</v>
      </c>
      <c r="J145" s="515">
        <f t="shared" si="25"/>
        <v>0.61427980182242892</v>
      </c>
      <c r="K145" s="449">
        <f>K7+K12+K18+K23+K29+K35+K46+K57+K68+K79+K90+K101+K112+K123+K134</f>
        <v>382399571.77999997</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1500000</v>
      </c>
      <c r="F149" s="470">
        <f t="shared" si="30"/>
        <v>0</v>
      </c>
      <c r="G149" s="468">
        <f t="shared" si="30"/>
        <v>1409774.98</v>
      </c>
      <c r="H149" s="470">
        <f t="shared" si="30"/>
        <v>1500000</v>
      </c>
      <c r="I149" s="44">
        <f t="shared" si="24"/>
        <v>-90225.020000000019</v>
      </c>
      <c r="J149" s="330">
        <f t="shared" si="25"/>
        <v>-6.0150013333333349E-2</v>
      </c>
      <c r="K149" s="469">
        <f t="shared" si="30"/>
        <v>1500000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v>1310000</v>
      </c>
      <c r="F151" s="746"/>
      <c r="G151" s="733">
        <v>274174.98</v>
      </c>
      <c r="H151" s="746">
        <f t="shared" ref="H151:H152" si="31">E151/12*12</f>
        <v>1310000</v>
      </c>
      <c r="I151" s="44">
        <f t="shared" si="24"/>
        <v>-1035825.02</v>
      </c>
      <c r="J151" s="330">
        <f t="shared" si="25"/>
        <v>-0.79070612213740454</v>
      </c>
      <c r="K151" s="747">
        <f t="shared" ref="K151:K152" si="32">E151</f>
        <v>1310000</v>
      </c>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v>190000</v>
      </c>
      <c r="F152" s="746"/>
      <c r="G152" s="733">
        <v>1135600</v>
      </c>
      <c r="H152" s="746">
        <f t="shared" si="31"/>
        <v>190000</v>
      </c>
      <c r="I152" s="44">
        <f t="shared" si="24"/>
        <v>945600</v>
      </c>
      <c r="J152" s="330">
        <f t="shared" si="25"/>
        <v>4.9768421052631577</v>
      </c>
      <c r="K152" s="747">
        <f t="shared" si="32"/>
        <v>190000</v>
      </c>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3">SUM(E161:E170)</f>
        <v>27914416</v>
      </c>
      <c r="F160" s="443">
        <f t="shared" si="33"/>
        <v>4566144.6399999997</v>
      </c>
      <c r="G160" s="441">
        <f t="shared" si="33"/>
        <v>7781160.2799999993</v>
      </c>
      <c r="H160" s="443">
        <f t="shared" si="33"/>
        <v>27914416</v>
      </c>
      <c r="I160" s="44">
        <f t="shared" si="24"/>
        <v>-20133255.719999999</v>
      </c>
      <c r="J160" s="330">
        <f t="shared" si="25"/>
        <v>-0.72124939744395866</v>
      </c>
      <c r="K160" s="442">
        <f t="shared" si="33"/>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v>3357113.9</v>
      </c>
      <c r="G161" s="733">
        <v>5396998.2199999997</v>
      </c>
      <c r="H161" s="746">
        <f t="shared" ref="H161:H162" si="34">E161/12*12</f>
        <v>13500000</v>
      </c>
      <c r="I161" s="44">
        <f t="shared" si="24"/>
        <v>-8103001.7800000003</v>
      </c>
      <c r="J161" s="330">
        <f t="shared" si="25"/>
        <v>-0.60022235407407409</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1209030.74</v>
      </c>
      <c r="G162" s="733">
        <v>2384162.0599999996</v>
      </c>
      <c r="H162" s="746">
        <f t="shared" si="34"/>
        <v>13879416</v>
      </c>
      <c r="I162" s="44">
        <f t="shared" si="24"/>
        <v>-11495253.940000001</v>
      </c>
      <c r="J162" s="330">
        <f t="shared" si="25"/>
        <v>-0.82822317163776926</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v>0</v>
      </c>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v>0</v>
      </c>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c r="H165" s="746">
        <f>E165/12*12</f>
        <v>535000</v>
      </c>
      <c r="I165" s="44">
        <f t="shared" si="24"/>
        <v>-535000</v>
      </c>
      <c r="J165" s="330">
        <f t="shared" si="25"/>
        <v>-1</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5">SUM(C172:C181)</f>
        <v>0</v>
      </c>
      <c r="D171" s="444">
        <f t="shared" si="35"/>
        <v>13700000</v>
      </c>
      <c r="E171" s="441">
        <f t="shared" si="35"/>
        <v>19124760</v>
      </c>
      <c r="F171" s="443">
        <f t="shared" si="35"/>
        <v>3385113.87</v>
      </c>
      <c r="G171" s="441">
        <f t="shared" si="35"/>
        <v>26470523.920000002</v>
      </c>
      <c r="H171" s="443">
        <f t="shared" si="35"/>
        <v>19124760</v>
      </c>
      <c r="I171" s="44">
        <f t="shared" si="24"/>
        <v>7345763.9200000018</v>
      </c>
      <c r="J171" s="330">
        <f t="shared" si="25"/>
        <v>0.38409705115253745</v>
      </c>
      <c r="K171" s="442">
        <f t="shared" si="35"/>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0</v>
      </c>
      <c r="F172" s="746"/>
      <c r="G172" s="733"/>
      <c r="H172" s="746"/>
      <c r="I172" s="44">
        <f t="shared" si="24"/>
        <v>0</v>
      </c>
      <c r="J172" s="330" t="str">
        <f t="shared" si="25"/>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36">E173/12*12</f>
        <v>2000000</v>
      </c>
      <c r="I173" s="44">
        <f t="shared" ref="I173:I236" si="37">G173-H173</f>
        <v>-2000000</v>
      </c>
      <c r="J173" s="330">
        <f t="shared" ref="J173:J236" si="38">IF(I173=0,"",I173/H173)</f>
        <v>-1</v>
      </c>
      <c r="K173" s="747">
        <f t="shared" ref="K173:K175" si="39">E173</f>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v>1376745.34</v>
      </c>
      <c r="G174" s="384">
        <v>12034503.01</v>
      </c>
      <c r="H174" s="472">
        <f t="shared" si="36"/>
        <v>12162335</v>
      </c>
      <c r="I174" s="44">
        <f t="shared" si="37"/>
        <v>-127831.99000000022</v>
      </c>
      <c r="J174" s="330">
        <f t="shared" si="38"/>
        <v>-1.0510480923276675E-2</v>
      </c>
      <c r="K174" s="395">
        <f t="shared" si="39"/>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2008368.53</v>
      </c>
      <c r="G175" s="384">
        <v>14436020.91</v>
      </c>
      <c r="H175" s="472">
        <f t="shared" si="36"/>
        <v>4962425</v>
      </c>
      <c r="I175" s="44">
        <f t="shared" si="37"/>
        <v>9473595.9100000001</v>
      </c>
      <c r="J175" s="330">
        <f t="shared" si="38"/>
        <v>1.9090658115739785</v>
      </c>
      <c r="K175" s="395">
        <f t="shared" si="39"/>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7"/>
        <v>0</v>
      </c>
      <c r="J176" s="330" t="str">
        <f t="shared" si="38"/>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7"/>
        <v>0</v>
      </c>
      <c r="J177" s="330" t="str">
        <f t="shared" si="38"/>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7"/>
        <v>0</v>
      </c>
      <c r="J178" s="330" t="str">
        <f t="shared" si="38"/>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7"/>
        <v>0</v>
      </c>
      <c r="J179" s="330" t="str">
        <f t="shared" si="38"/>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7"/>
        <v>0</v>
      </c>
      <c r="J180" s="330" t="str">
        <f t="shared" si="38"/>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7"/>
        <v>0</v>
      </c>
      <c r="J181" s="330" t="str">
        <f t="shared" si="38"/>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0">SUM(C183:C192)</f>
        <v>0</v>
      </c>
      <c r="D182" s="444">
        <f t="shared" si="40"/>
        <v>0</v>
      </c>
      <c r="E182" s="441">
        <f t="shared" si="40"/>
        <v>530000</v>
      </c>
      <c r="F182" s="443">
        <f t="shared" si="40"/>
        <v>628942.86</v>
      </c>
      <c r="G182" s="441">
        <f t="shared" si="40"/>
        <v>1104306.6600000001</v>
      </c>
      <c r="H182" s="443">
        <f t="shared" si="40"/>
        <v>530000</v>
      </c>
      <c r="I182" s="44">
        <f t="shared" si="37"/>
        <v>574306.66000000015</v>
      </c>
      <c r="J182" s="330">
        <f t="shared" si="38"/>
        <v>1.0835974716981134</v>
      </c>
      <c r="K182" s="442">
        <f t="shared" si="40"/>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7"/>
        <v>0</v>
      </c>
      <c r="J183" s="330" t="str">
        <f t="shared" si="38"/>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628942.86</v>
      </c>
      <c r="G184" s="384">
        <v>1104306.6600000001</v>
      </c>
      <c r="H184" s="472">
        <f>E184/12*12</f>
        <v>530000</v>
      </c>
      <c r="I184" s="44">
        <f t="shared" si="37"/>
        <v>574306.66000000015</v>
      </c>
      <c r="J184" s="330">
        <f t="shared" si="38"/>
        <v>1.0835974716981134</v>
      </c>
      <c r="K184" s="395">
        <f t="shared" ref="K184" si="41">E184</f>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7"/>
        <v>0</v>
      </c>
      <c r="J185" s="330" t="str">
        <f t="shared" si="38"/>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7"/>
        <v>0</v>
      </c>
      <c r="J186" s="330" t="str">
        <f t="shared" si="38"/>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7"/>
        <v>0</v>
      </c>
      <c r="J187" s="330" t="str">
        <f t="shared" si="38"/>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7"/>
        <v>0</v>
      </c>
      <c r="J188" s="330" t="str">
        <f t="shared" si="38"/>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7"/>
        <v>0</v>
      </c>
      <c r="J189" s="330" t="str">
        <f t="shared" si="38"/>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7"/>
        <v>0</v>
      </c>
      <c r="J190" s="330" t="str">
        <f t="shared" si="38"/>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7"/>
        <v>0</v>
      </c>
      <c r="J191" s="330" t="str">
        <f t="shared" si="38"/>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7"/>
        <v>0</v>
      </c>
      <c r="J192" s="330" t="str">
        <f t="shared" si="38"/>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2">SUM(C194:C203)</f>
        <v>0</v>
      </c>
      <c r="D193" s="444">
        <f t="shared" si="42"/>
        <v>33000000</v>
      </c>
      <c r="E193" s="441">
        <f t="shared" si="42"/>
        <v>310123978</v>
      </c>
      <c r="F193" s="443">
        <f t="shared" si="42"/>
        <v>11044225.430000002</v>
      </c>
      <c r="G193" s="441">
        <f t="shared" si="42"/>
        <v>28166697.609999999</v>
      </c>
      <c r="H193" s="443">
        <f t="shared" si="42"/>
        <v>310123978</v>
      </c>
      <c r="I193" s="44">
        <f t="shared" si="37"/>
        <v>-281957280.38999999</v>
      </c>
      <c r="J193" s="330">
        <f t="shared" si="38"/>
        <v>-0.90917600828014655</v>
      </c>
      <c r="K193" s="442">
        <f t="shared" si="42"/>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10730008.830000002</v>
      </c>
      <c r="G194" s="384">
        <v>25333704.829999998</v>
      </c>
      <c r="H194" s="472">
        <f>E194/12*12</f>
        <v>8354330</v>
      </c>
      <c r="I194" s="44">
        <f t="shared" si="37"/>
        <v>16979374.829999998</v>
      </c>
      <c r="J194" s="330">
        <f t="shared" si="38"/>
        <v>2.0324041341436114</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v>0</v>
      </c>
      <c r="F195" s="472"/>
      <c r="G195" s="384"/>
      <c r="H195" s="472"/>
      <c r="I195" s="44">
        <f t="shared" si="37"/>
        <v>0</v>
      </c>
      <c r="J195" s="330" t="str">
        <f t="shared" si="38"/>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314216.59999999998</v>
      </c>
      <c r="G196" s="384">
        <v>2832992.7800000003</v>
      </c>
      <c r="H196" s="472">
        <f t="shared" ref="H196:H197" si="43">E196/12*12</f>
        <v>160009305</v>
      </c>
      <c r="I196" s="44">
        <f t="shared" si="37"/>
        <v>-157176312.22</v>
      </c>
      <c r="J196" s="330">
        <f t="shared" si="38"/>
        <v>-0.98229482479159569</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43"/>
        <v>141760343</v>
      </c>
      <c r="I197" s="44">
        <f t="shared" si="37"/>
        <v>-141760343</v>
      </c>
      <c r="J197" s="330">
        <f t="shared" si="38"/>
        <v>-1</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7"/>
        <v>0</v>
      </c>
      <c r="J198" s="330" t="str">
        <f t="shared" si="38"/>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7"/>
        <v>0</v>
      </c>
      <c r="J199" s="330" t="str">
        <f t="shared" si="38"/>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7"/>
        <v>0</v>
      </c>
      <c r="J200" s="330" t="str">
        <f t="shared" si="38"/>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7"/>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7"/>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7"/>
        <v>0</v>
      </c>
      <c r="J203" s="330" t="str">
        <f t="shared" si="38"/>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4">SUM(C205:C214)</f>
        <v>0</v>
      </c>
      <c r="D204" s="444">
        <f t="shared" si="44"/>
        <v>10024000</v>
      </c>
      <c r="E204" s="441">
        <f t="shared" si="44"/>
        <v>5597634</v>
      </c>
      <c r="F204" s="443">
        <f t="shared" si="44"/>
        <v>499373.71</v>
      </c>
      <c r="G204" s="441">
        <f t="shared" si="44"/>
        <v>4022506.12</v>
      </c>
      <c r="H204" s="443">
        <f t="shared" si="44"/>
        <v>5597634</v>
      </c>
      <c r="I204" s="44">
        <f t="shared" si="37"/>
        <v>-1575127.88</v>
      </c>
      <c r="J204" s="330">
        <f t="shared" si="38"/>
        <v>-0.28139172371755639</v>
      </c>
      <c r="K204" s="442">
        <f t="shared" si="44"/>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206175</v>
      </c>
      <c r="G205" s="384">
        <v>2639771.77</v>
      </c>
      <c r="H205" s="472">
        <f>E205/12*12</f>
        <v>147634</v>
      </c>
      <c r="I205" s="44">
        <f t="shared" si="37"/>
        <v>2492137.77</v>
      </c>
      <c r="J205" s="330">
        <f t="shared" si="38"/>
        <v>16.880513770540663</v>
      </c>
      <c r="K205" s="395">
        <f t="shared" ref="K205:K206" si="45">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0</v>
      </c>
      <c r="F206" s="472"/>
      <c r="G206" s="384"/>
      <c r="H206" s="472"/>
      <c r="I206" s="44">
        <f t="shared" si="37"/>
        <v>0</v>
      </c>
      <c r="J206" s="330" t="str">
        <f t="shared" si="38"/>
        <v/>
      </c>
      <c r="K206" s="395">
        <f t="shared" si="45"/>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v>266386.89</v>
      </c>
      <c r="G207" s="384">
        <v>512953.59</v>
      </c>
      <c r="H207" s="472">
        <f>E207/12*12</f>
        <v>5250000</v>
      </c>
      <c r="I207" s="44">
        <f t="shared" si="37"/>
        <v>-4737046.41</v>
      </c>
      <c r="J207" s="330">
        <f t="shared" si="38"/>
        <v>-0.90229455428571437</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v>26811.82</v>
      </c>
      <c r="G208" s="384">
        <v>869780.76</v>
      </c>
      <c r="H208" s="472">
        <f>E208/12*12</f>
        <v>200000</v>
      </c>
      <c r="I208" s="44">
        <f t="shared" si="37"/>
        <v>669780.76</v>
      </c>
      <c r="J208" s="330">
        <f t="shared" si="38"/>
        <v>3.3489038</v>
      </c>
      <c r="K208" s="395">
        <f>E208</f>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7"/>
        <v>0</v>
      </c>
      <c r="J209" s="330" t="str">
        <f t="shared" si="38"/>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7"/>
        <v>0</v>
      </c>
      <c r="J210" s="330" t="str">
        <f t="shared" si="38"/>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7"/>
        <v>0</v>
      </c>
      <c r="J211" s="330" t="str">
        <f t="shared" si="38"/>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7"/>
        <v>0</v>
      </c>
      <c r="J212" s="330" t="str">
        <f t="shared" si="38"/>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7"/>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7"/>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6">SUM(C216:C225)</f>
        <v>0</v>
      </c>
      <c r="D215" s="444">
        <f t="shared" si="46"/>
        <v>0</v>
      </c>
      <c r="E215" s="441">
        <f t="shared" si="46"/>
        <v>0</v>
      </c>
      <c r="F215" s="443">
        <f t="shared" si="46"/>
        <v>0</v>
      </c>
      <c r="G215" s="441">
        <f t="shared" si="46"/>
        <v>0</v>
      </c>
      <c r="H215" s="443">
        <f t="shared" si="46"/>
        <v>0</v>
      </c>
      <c r="I215" s="44">
        <f t="shared" si="37"/>
        <v>0</v>
      </c>
      <c r="J215" s="330" t="str">
        <f t="shared" si="38"/>
        <v/>
      </c>
      <c r="K215" s="442">
        <f t="shared" si="46"/>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7"/>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7"/>
        <v>0</v>
      </c>
      <c r="J217" s="330" t="str">
        <f t="shared" si="38"/>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7"/>
        <v>0</v>
      </c>
      <c r="J218" s="330" t="str">
        <f t="shared" si="38"/>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7"/>
        <v>0</v>
      </c>
      <c r="J219" s="330" t="str">
        <f t="shared" si="38"/>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7"/>
        <v>0</v>
      </c>
      <c r="J220" s="330" t="str">
        <f t="shared" si="38"/>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7"/>
        <v>0</v>
      </c>
      <c r="J221" s="330" t="str">
        <f t="shared" si="38"/>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7"/>
        <v>0</v>
      </c>
      <c r="J222" s="330" t="str">
        <f t="shared" si="38"/>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7"/>
        <v>0</v>
      </c>
      <c r="J223" s="330" t="str">
        <f t="shared" si="38"/>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7"/>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7"/>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7">SUM(C227:C236)</f>
        <v>0</v>
      </c>
      <c r="D226" s="444">
        <f t="shared" si="47"/>
        <v>0</v>
      </c>
      <c r="E226" s="441">
        <f t="shared" si="47"/>
        <v>0</v>
      </c>
      <c r="F226" s="443">
        <f t="shared" si="47"/>
        <v>0</v>
      </c>
      <c r="G226" s="441">
        <f t="shared" si="47"/>
        <v>0</v>
      </c>
      <c r="H226" s="443">
        <f t="shared" si="47"/>
        <v>0</v>
      </c>
      <c r="I226" s="44">
        <f t="shared" si="37"/>
        <v>0</v>
      </c>
      <c r="J226" s="330" t="str">
        <f t="shared" si="38"/>
        <v/>
      </c>
      <c r="K226" s="442">
        <f t="shared" si="47"/>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7"/>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7"/>
        <v>0</v>
      </c>
      <c r="J228" s="330" t="str">
        <f t="shared" si="38"/>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7"/>
        <v>0</v>
      </c>
      <c r="J229" s="330" t="str">
        <f t="shared" si="38"/>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7"/>
        <v>0</v>
      </c>
      <c r="J230" s="330" t="str">
        <f t="shared" si="38"/>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7"/>
        <v>0</v>
      </c>
      <c r="J231" s="330" t="str">
        <f t="shared" si="38"/>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7"/>
        <v>0</v>
      </c>
      <c r="J232" s="330" t="str">
        <f t="shared" si="38"/>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7"/>
        <v>0</v>
      </c>
      <c r="J233" s="330" t="str">
        <f t="shared" si="38"/>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7"/>
        <v>0</v>
      </c>
      <c r="J234" s="330" t="str">
        <f t="shared" si="38"/>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7"/>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7"/>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8">SUM(C238:C247)</f>
        <v>0</v>
      </c>
      <c r="D237" s="444">
        <f t="shared" si="48"/>
        <v>0</v>
      </c>
      <c r="E237" s="441">
        <f t="shared" si="48"/>
        <v>0</v>
      </c>
      <c r="F237" s="443">
        <f t="shared" si="48"/>
        <v>0</v>
      </c>
      <c r="G237" s="441">
        <f t="shared" si="48"/>
        <v>0</v>
      </c>
      <c r="H237" s="443">
        <f t="shared" si="48"/>
        <v>0</v>
      </c>
      <c r="I237" s="44">
        <f t="shared" ref="I237:I300" si="49">G237-H237</f>
        <v>0</v>
      </c>
      <c r="J237" s="330" t="str">
        <f t="shared" ref="J237:J300" si="50">IF(I237=0,"",I237/H237)</f>
        <v/>
      </c>
      <c r="K237" s="442">
        <f t="shared" si="48"/>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9"/>
        <v>0</v>
      </c>
      <c r="J238" s="330" t="str">
        <f t="shared" si="50"/>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9"/>
        <v>0</v>
      </c>
      <c r="J239" s="330" t="str">
        <f t="shared" si="50"/>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9"/>
        <v>0</v>
      </c>
      <c r="J240" s="330" t="str">
        <f t="shared" si="50"/>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9"/>
        <v>0</v>
      </c>
      <c r="J241" s="330" t="str">
        <f t="shared" si="50"/>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9"/>
        <v>0</v>
      </c>
      <c r="J242" s="330" t="str">
        <f t="shared" si="50"/>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9"/>
        <v>0</v>
      </c>
      <c r="J243" s="330" t="str">
        <f t="shared" si="50"/>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9"/>
        <v>0</v>
      </c>
      <c r="J244" s="330" t="str">
        <f t="shared" si="50"/>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9"/>
        <v>0</v>
      </c>
      <c r="J245" s="330" t="str">
        <f t="shared" si="50"/>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9"/>
        <v>0</v>
      </c>
      <c r="J246" s="330" t="str">
        <f t="shared" si="50"/>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9"/>
        <v>0</v>
      </c>
      <c r="J247" s="330" t="str">
        <f t="shared" si="50"/>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1">SUM(C249:C258)</f>
        <v>0</v>
      </c>
      <c r="D248" s="444">
        <f t="shared" si="51"/>
        <v>0</v>
      </c>
      <c r="E248" s="441">
        <f t="shared" si="51"/>
        <v>0</v>
      </c>
      <c r="F248" s="443">
        <f t="shared" si="51"/>
        <v>0</v>
      </c>
      <c r="G248" s="441">
        <f t="shared" si="51"/>
        <v>0</v>
      </c>
      <c r="H248" s="443">
        <f t="shared" si="51"/>
        <v>0</v>
      </c>
      <c r="I248" s="44">
        <f t="shared" si="49"/>
        <v>0</v>
      </c>
      <c r="J248" s="330" t="str">
        <f t="shared" si="50"/>
        <v/>
      </c>
      <c r="K248" s="442">
        <f t="shared" si="51"/>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9"/>
        <v>0</v>
      </c>
      <c r="J249" s="330" t="str">
        <f t="shared" si="50"/>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9"/>
        <v>0</v>
      </c>
      <c r="J250" s="330" t="str">
        <f t="shared" si="50"/>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9"/>
        <v>0</v>
      </c>
      <c r="J251" s="330" t="str">
        <f t="shared" si="50"/>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9"/>
        <v>0</v>
      </c>
      <c r="J252" s="330" t="str">
        <f t="shared" si="50"/>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9"/>
        <v>0</v>
      </c>
      <c r="J253" s="330" t="str">
        <f t="shared" si="50"/>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9"/>
        <v>0</v>
      </c>
      <c r="J254" s="330" t="str">
        <f t="shared" si="50"/>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9"/>
        <v>0</v>
      </c>
      <c r="J255" s="330" t="str">
        <f t="shared" si="50"/>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9"/>
        <v>0</v>
      </c>
      <c r="J256" s="330" t="str">
        <f t="shared" si="50"/>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9"/>
        <v>0</v>
      </c>
      <c r="J257" s="330" t="str">
        <f t="shared" si="50"/>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9"/>
        <v>0</v>
      </c>
      <c r="J258" s="330" t="str">
        <f t="shared" si="50"/>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2">SUM(C260:C269)</f>
        <v>0</v>
      </c>
      <c r="D259" s="444">
        <f t="shared" si="52"/>
        <v>0</v>
      </c>
      <c r="E259" s="441">
        <f t="shared" si="52"/>
        <v>0</v>
      </c>
      <c r="F259" s="443">
        <f t="shared" si="52"/>
        <v>0</v>
      </c>
      <c r="G259" s="441">
        <f t="shared" si="52"/>
        <v>0</v>
      </c>
      <c r="H259" s="443">
        <f t="shared" si="52"/>
        <v>0</v>
      </c>
      <c r="I259" s="44">
        <f t="shared" si="49"/>
        <v>0</v>
      </c>
      <c r="J259" s="330" t="str">
        <f t="shared" si="50"/>
        <v/>
      </c>
      <c r="K259" s="442">
        <f t="shared" si="52"/>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9"/>
        <v>0</v>
      </c>
      <c r="J260" s="330" t="str">
        <f t="shared" si="50"/>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9"/>
        <v>0</v>
      </c>
      <c r="J261" s="330" t="str">
        <f t="shared" si="50"/>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9"/>
        <v>0</v>
      </c>
      <c r="J262" s="330" t="str">
        <f t="shared" si="50"/>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9"/>
        <v>0</v>
      </c>
      <c r="J263" s="330" t="str">
        <f t="shared" si="50"/>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9"/>
        <v>0</v>
      </c>
      <c r="J264" s="330" t="str">
        <f t="shared" si="50"/>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9"/>
        <v>0</v>
      </c>
      <c r="J265" s="330" t="str">
        <f t="shared" si="50"/>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9"/>
        <v>0</v>
      </c>
      <c r="J266" s="330" t="str">
        <f t="shared" si="50"/>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9"/>
        <v>0</v>
      </c>
      <c r="J267" s="330" t="str">
        <f t="shared" si="50"/>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9"/>
        <v>0</v>
      </c>
      <c r="J268" s="330" t="str">
        <f t="shared" si="50"/>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9"/>
        <v>0</v>
      </c>
      <c r="J269" s="330" t="str">
        <f t="shared" si="50"/>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3">SUM(C271:C280)</f>
        <v>0</v>
      </c>
      <c r="D270" s="444">
        <f t="shared" si="53"/>
        <v>0</v>
      </c>
      <c r="E270" s="441">
        <f t="shared" si="53"/>
        <v>0</v>
      </c>
      <c r="F270" s="443">
        <f t="shared" si="53"/>
        <v>0</v>
      </c>
      <c r="G270" s="441">
        <f t="shared" si="53"/>
        <v>0</v>
      </c>
      <c r="H270" s="443">
        <f t="shared" si="53"/>
        <v>0</v>
      </c>
      <c r="I270" s="44">
        <f t="shared" si="49"/>
        <v>0</v>
      </c>
      <c r="J270" s="330" t="str">
        <f t="shared" si="50"/>
        <v/>
      </c>
      <c r="K270" s="442">
        <f t="shared" si="53"/>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9"/>
        <v>0</v>
      </c>
      <c r="J271" s="330" t="str">
        <f t="shared" si="50"/>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9"/>
        <v>0</v>
      </c>
      <c r="J272" s="330" t="str">
        <f t="shared" si="50"/>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9"/>
        <v>0</v>
      </c>
      <c r="J273" s="330" t="str">
        <f t="shared" si="50"/>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9"/>
        <v>0</v>
      </c>
      <c r="J274" s="330" t="str">
        <f t="shared" si="50"/>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9"/>
        <v>0</v>
      </c>
      <c r="J275" s="330" t="str">
        <f t="shared" si="50"/>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9"/>
        <v>0</v>
      </c>
      <c r="J276" s="330" t="str">
        <f t="shared" si="50"/>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9"/>
        <v>0</v>
      </c>
      <c r="J277" s="330" t="str">
        <f t="shared" si="50"/>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9"/>
        <v>0</v>
      </c>
      <c r="J278" s="330" t="str">
        <f t="shared" si="50"/>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9"/>
        <v>0</v>
      </c>
      <c r="J279" s="330" t="str">
        <f t="shared" si="50"/>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9"/>
        <v>0</v>
      </c>
      <c r="J280" s="330" t="str">
        <f t="shared" si="50"/>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4">SUM(C282:C291)</f>
        <v>0</v>
      </c>
      <c r="D281" s="444">
        <f t="shared" si="54"/>
        <v>0</v>
      </c>
      <c r="E281" s="441">
        <f t="shared" si="54"/>
        <v>0</v>
      </c>
      <c r="F281" s="443">
        <f t="shared" si="54"/>
        <v>0</v>
      </c>
      <c r="G281" s="441">
        <f t="shared" si="54"/>
        <v>0</v>
      </c>
      <c r="H281" s="443">
        <f t="shared" si="54"/>
        <v>0</v>
      </c>
      <c r="I281" s="44">
        <f t="shared" si="49"/>
        <v>0</v>
      </c>
      <c r="J281" s="330" t="str">
        <f t="shared" si="50"/>
        <v/>
      </c>
      <c r="K281" s="442">
        <f t="shared" si="54"/>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9"/>
        <v>0</v>
      </c>
      <c r="J282" s="330" t="str">
        <f t="shared" si="50"/>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9"/>
        <v>0</v>
      </c>
      <c r="J283" s="330" t="str">
        <f t="shared" si="50"/>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9"/>
        <v>0</v>
      </c>
      <c r="J284" s="330" t="str">
        <f t="shared" si="50"/>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9"/>
        <v>0</v>
      </c>
      <c r="J285" s="330" t="str">
        <f t="shared" si="50"/>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9"/>
        <v>0</v>
      </c>
      <c r="J286" s="330" t="str">
        <f t="shared" si="50"/>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9"/>
        <v>0</v>
      </c>
      <c r="J287" s="330" t="str">
        <f t="shared" si="50"/>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9"/>
        <v>0</v>
      </c>
      <c r="J288" s="330" t="str">
        <f t="shared" si="50"/>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9"/>
        <v>0</v>
      </c>
      <c r="J289" s="330" t="str">
        <f t="shared" si="50"/>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9"/>
        <v>0</v>
      </c>
      <c r="J290" s="330" t="str">
        <f t="shared" si="50"/>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9"/>
        <v>0</v>
      </c>
      <c r="J291" s="330" t="str">
        <f t="shared" si="50"/>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5">SUM(C293:C302)</f>
        <v>0</v>
      </c>
      <c r="D292" s="444">
        <f t="shared" si="55"/>
        <v>0</v>
      </c>
      <c r="E292" s="441">
        <f t="shared" si="55"/>
        <v>0</v>
      </c>
      <c r="F292" s="443">
        <f t="shared" si="55"/>
        <v>0</v>
      </c>
      <c r="G292" s="441">
        <f t="shared" si="55"/>
        <v>0</v>
      </c>
      <c r="H292" s="443">
        <f t="shared" si="55"/>
        <v>0</v>
      </c>
      <c r="I292" s="44">
        <f t="shared" si="49"/>
        <v>0</v>
      </c>
      <c r="J292" s="330" t="str">
        <f t="shared" si="50"/>
        <v/>
      </c>
      <c r="K292" s="442">
        <f t="shared" si="55"/>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9"/>
        <v>0</v>
      </c>
      <c r="J293" s="330" t="str">
        <f t="shared" si="50"/>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9"/>
        <v>0</v>
      </c>
      <c r="J294" s="330" t="str">
        <f t="shared" si="50"/>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9"/>
        <v>0</v>
      </c>
      <c r="J295" s="330" t="str">
        <f t="shared" si="50"/>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9"/>
        <v>0</v>
      </c>
      <c r="J296" s="330" t="str">
        <f t="shared" si="50"/>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9"/>
        <v>0</v>
      </c>
      <c r="J297" s="330" t="str">
        <f t="shared" si="50"/>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9"/>
        <v>0</v>
      </c>
      <c r="J298" s="330" t="str">
        <f t="shared" si="50"/>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9"/>
        <v>0</v>
      </c>
      <c r="J299" s="330" t="str">
        <f t="shared" si="50"/>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9"/>
        <v>0</v>
      </c>
      <c r="J300" s="330" t="str">
        <f t="shared" si="50"/>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6">G301-H301</f>
        <v>0</v>
      </c>
      <c r="J301" s="330" t="str">
        <f t="shared" ref="J301:J316" si="57">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6"/>
        <v>0</v>
      </c>
      <c r="J302" s="330" t="str">
        <f t="shared" si="57"/>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8">SUM(C304:C313)</f>
        <v>0</v>
      </c>
      <c r="D303" s="444">
        <f t="shared" si="58"/>
        <v>0</v>
      </c>
      <c r="E303" s="441">
        <f t="shared" si="58"/>
        <v>0</v>
      </c>
      <c r="F303" s="443">
        <f t="shared" si="58"/>
        <v>0</v>
      </c>
      <c r="G303" s="441">
        <f t="shared" si="58"/>
        <v>0</v>
      </c>
      <c r="H303" s="443">
        <f t="shared" si="58"/>
        <v>0</v>
      </c>
      <c r="I303" s="44">
        <f t="shared" si="56"/>
        <v>0</v>
      </c>
      <c r="J303" s="330" t="str">
        <f t="shared" si="57"/>
        <v/>
      </c>
      <c r="K303" s="442">
        <f t="shared" si="58"/>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6"/>
        <v>0</v>
      </c>
      <c r="J304" s="330" t="str">
        <f t="shared" si="57"/>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6"/>
        <v>0</v>
      </c>
      <c r="J305" s="330" t="str">
        <f t="shared" si="57"/>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6"/>
        <v>0</v>
      </c>
      <c r="J306" s="330" t="str">
        <f t="shared" si="57"/>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6"/>
        <v>0</v>
      </c>
      <c r="J307" s="330" t="str">
        <f t="shared" si="57"/>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6"/>
        <v>0</v>
      </c>
      <c r="J308" s="330" t="str">
        <f t="shared" si="57"/>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6"/>
        <v>0</v>
      </c>
      <c r="J309" s="330" t="str">
        <f t="shared" si="57"/>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6"/>
        <v>0</v>
      </c>
      <c r="J310" s="330" t="str">
        <f t="shared" si="57"/>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6"/>
        <v>0</v>
      </c>
      <c r="J311" s="330" t="str">
        <f t="shared" si="57"/>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6"/>
        <v>0</v>
      </c>
      <c r="J312" s="330" t="str">
        <f t="shared" si="57"/>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6"/>
        <v>0</v>
      </c>
      <c r="J313" s="330" t="str">
        <f t="shared" si="57"/>
        <v/>
      </c>
      <c r="K313" s="395"/>
      <c r="L313" s="452">
        <f t="shared" ref="L313:W313" si="59">SUM(L148:L224)</f>
        <v>0</v>
      </c>
      <c r="M313" s="453">
        <f t="shared" si="59"/>
        <v>0</v>
      </c>
      <c r="N313" s="453">
        <f t="shared" si="59"/>
        <v>0</v>
      </c>
      <c r="O313" s="453">
        <f t="shared" si="59"/>
        <v>0</v>
      </c>
      <c r="P313" s="453">
        <f t="shared" si="59"/>
        <v>0</v>
      </c>
      <c r="Q313" s="453">
        <f t="shared" si="59"/>
        <v>0</v>
      </c>
      <c r="R313" s="453">
        <f t="shared" si="59"/>
        <v>0</v>
      </c>
      <c r="S313" s="453">
        <f t="shared" si="59"/>
        <v>0</v>
      </c>
      <c r="T313" s="453">
        <f t="shared" si="59"/>
        <v>0</v>
      </c>
      <c r="U313" s="453">
        <f t="shared" si="59"/>
        <v>0</v>
      </c>
      <c r="V313" s="453">
        <f t="shared" si="59"/>
        <v>0</v>
      </c>
      <c r="W313" s="453">
        <f t="shared" si="59"/>
        <v>0</v>
      </c>
    </row>
    <row r="314" spans="1:23" ht="12.75" customHeight="1" x14ac:dyDescent="0.25">
      <c r="A314" s="711" t="s">
        <v>799</v>
      </c>
      <c r="B314" s="712"/>
      <c r="C314" s="508">
        <f>C149+C160+C171+C182+C193+C204+C215+C226+C237+C259+C270+C281+C292+C303+C248</f>
        <v>0</v>
      </c>
      <c r="D314" s="475">
        <f t="shared" ref="D314:K314" si="60">D149+D160+D171+D182+D193+D204+D215+D226+D237+D259+D270+D281+D292+D303+D248</f>
        <v>71724000</v>
      </c>
      <c r="E314" s="430">
        <f t="shared" si="60"/>
        <v>364790788</v>
      </c>
      <c r="F314" s="474">
        <f t="shared" si="60"/>
        <v>20123800.510000002</v>
      </c>
      <c r="G314" s="430">
        <f t="shared" si="60"/>
        <v>68954969.570000008</v>
      </c>
      <c r="H314" s="474">
        <f t="shared" si="60"/>
        <v>364790788</v>
      </c>
      <c r="I314" s="430">
        <f t="shared" si="56"/>
        <v>-295835818.43000001</v>
      </c>
      <c r="J314" s="430">
        <f t="shared" si="57"/>
        <v>-0.81097392851378691</v>
      </c>
      <c r="K314" s="513">
        <f t="shared" si="60"/>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6"/>
        <v>0</v>
      </c>
      <c r="J315" s="50" t="str">
        <f t="shared" si="57"/>
        <v/>
      </c>
      <c r="K315" s="194"/>
      <c r="L315" s="480">
        <f t="shared" ref="L315:W315" si="61">L144-L313</f>
        <v>0</v>
      </c>
      <c r="M315" s="481">
        <f t="shared" si="61"/>
        <v>0</v>
      </c>
      <c r="N315" s="481">
        <f t="shared" si="61"/>
        <v>0</v>
      </c>
      <c r="O315" s="481">
        <f t="shared" si="61"/>
        <v>0</v>
      </c>
      <c r="P315" s="481">
        <f t="shared" si="61"/>
        <v>0</v>
      </c>
      <c r="Q315" s="481">
        <f t="shared" si="61"/>
        <v>0</v>
      </c>
      <c r="R315" s="481">
        <f t="shared" si="61"/>
        <v>0</v>
      </c>
      <c r="S315" s="481">
        <f t="shared" si="61"/>
        <v>0</v>
      </c>
      <c r="T315" s="481">
        <f t="shared" si="61"/>
        <v>0</v>
      </c>
      <c r="U315" s="481">
        <f t="shared" si="61"/>
        <v>0</v>
      </c>
      <c r="V315" s="481">
        <f t="shared" si="61"/>
        <v>0</v>
      </c>
      <c r="W315" s="481">
        <f t="shared" si="61"/>
        <v>0</v>
      </c>
    </row>
    <row r="316" spans="1:23" s="486" customFormat="1" ht="13.5" customHeight="1" thickTop="1" x14ac:dyDescent="0.25">
      <c r="A316" s="53" t="s">
        <v>761</v>
      </c>
      <c r="B316" s="477"/>
      <c r="C316" s="509">
        <f>C145+C314</f>
        <v>479855222.16999996</v>
      </c>
      <c r="D316" s="512">
        <f t="shared" ref="D316:K316" si="62">D145+D314</f>
        <v>580891581</v>
      </c>
      <c r="E316" s="55">
        <f t="shared" si="62"/>
        <v>747190359.77999997</v>
      </c>
      <c r="F316" s="479">
        <f t="shared" si="62"/>
        <v>265811225.38999999</v>
      </c>
      <c r="G316" s="55">
        <f t="shared" si="62"/>
        <v>686254874.5200001</v>
      </c>
      <c r="H316" s="479">
        <f t="shared" si="62"/>
        <v>747190359.77999997</v>
      </c>
      <c r="I316" s="55">
        <f t="shared" si="56"/>
        <v>-60935485.259999871</v>
      </c>
      <c r="J316" s="55">
        <f t="shared" si="57"/>
        <v>-8.1552825812610183E-2</v>
      </c>
      <c r="K316" s="235">
        <f t="shared" si="62"/>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0" t="str">
        <f>muni&amp; " - "&amp;S71E&amp; " - "&amp;date</f>
        <v>KZN225 Msunduzi - Table C6 Consolidated Monthly Budget Statement - Financial Position  - Q4 Fourth Quarter</v>
      </c>
      <c r="B1" s="1060"/>
      <c r="C1" s="1060"/>
      <c r="D1" s="1060"/>
      <c r="E1" s="1060"/>
      <c r="F1" s="1060"/>
      <c r="G1" s="1060"/>
    </row>
    <row r="2" spans="1:8" x14ac:dyDescent="0.25">
      <c r="A2" s="1045" t="str">
        <f>desc</f>
        <v>Description</v>
      </c>
      <c r="B2" s="1038" t="str">
        <f>head27</f>
        <v>Ref</v>
      </c>
      <c r="C2" s="140" t="str">
        <f>Head1</f>
        <v>2019/20</v>
      </c>
      <c r="D2" s="245" t="str">
        <f>Head2</f>
        <v>Budget Year 2020/21</v>
      </c>
      <c r="E2" s="229"/>
      <c r="F2" s="229"/>
      <c r="G2" s="230"/>
    </row>
    <row r="3" spans="1:8" ht="25.5" x14ac:dyDescent="0.25">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v>518976967</v>
      </c>
      <c r="D7" s="753">
        <v>365664115.172562</v>
      </c>
      <c r="E7" s="733">
        <v>219655439.85161698</v>
      </c>
      <c r="F7" s="733">
        <v>24611178.199999996</v>
      </c>
      <c r="G7" s="735">
        <f>E7</f>
        <v>219655439.85161698</v>
      </c>
    </row>
    <row r="8" spans="1:8" ht="12.75" customHeight="1" x14ac:dyDescent="0.25">
      <c r="A8" s="39" t="s">
        <v>590</v>
      </c>
      <c r="B8" s="169"/>
      <c r="C8" s="748"/>
      <c r="D8" s="753">
        <v>16771734.260000002</v>
      </c>
      <c r="E8" s="733">
        <v>67212254.891475201</v>
      </c>
      <c r="F8" s="733">
        <v>320836040.89999998</v>
      </c>
      <c r="G8" s="735">
        <f t="shared" ref="G8:G10" si="0">E8</f>
        <v>67212254.891475201</v>
      </c>
    </row>
    <row r="9" spans="1:8" ht="12.75" customHeight="1" x14ac:dyDescent="0.25">
      <c r="A9" s="39" t="s">
        <v>588</v>
      </c>
      <c r="B9" s="169"/>
      <c r="C9" s="748">
        <v>1451865358</v>
      </c>
      <c r="D9" s="753">
        <v>2485904793.8587079</v>
      </c>
      <c r="E9" s="733">
        <v>2165986452.8837075</v>
      </c>
      <c r="F9" s="733">
        <v>1895078508.6499989</v>
      </c>
      <c r="G9" s="735">
        <f t="shared" si="0"/>
        <v>2165986452.8837075</v>
      </c>
    </row>
    <row r="10" spans="1:8" ht="12.75" customHeight="1" x14ac:dyDescent="0.25">
      <c r="A10" s="39" t="s">
        <v>589</v>
      </c>
      <c r="B10" s="169"/>
      <c r="C10" s="748">
        <v>550039863.56999969</v>
      </c>
      <c r="D10" s="753">
        <v>67823549.673443094</v>
      </c>
      <c r="E10" s="733">
        <v>67823549.673443094</v>
      </c>
      <c r="F10" s="733">
        <v>7036053.9299999978</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v>340986532</v>
      </c>
      <c r="D12" s="753">
        <v>36180571.679769903</v>
      </c>
      <c r="E12" s="733">
        <v>173496047.05902392</v>
      </c>
      <c r="F12" s="733">
        <v>353716816.13999999</v>
      </c>
      <c r="G12" s="735">
        <f>E12</f>
        <v>173496047.05902392</v>
      </c>
    </row>
    <row r="13" spans="1:8" ht="12.75" customHeight="1" x14ac:dyDescent="0.25">
      <c r="A13" s="92" t="s">
        <v>632</v>
      </c>
      <c r="B13" s="233"/>
      <c r="C13" s="243">
        <f>SUM(C7:C12)</f>
        <v>2861868720.5699997</v>
      </c>
      <c r="D13" s="260">
        <f>SUM(D7:D12)</f>
        <v>2972344764.6444831</v>
      </c>
      <c r="E13" s="73">
        <f>SUM(E7:E12)</f>
        <v>2694173744.3592668</v>
      </c>
      <c r="F13" s="73">
        <f>SUM(F7:F12)</f>
        <v>2601278597.8199987</v>
      </c>
      <c r="G13" s="145">
        <f>SUM(G7:G12)</f>
        <v>2694173744.3592668</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c r="G16" s="733"/>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v>821671435</v>
      </c>
      <c r="D18" s="753">
        <v>782332533.60000002</v>
      </c>
      <c r="E18" s="733">
        <v>782332533.60000002</v>
      </c>
      <c r="F18" s="733">
        <v>877142334.92999995</v>
      </c>
      <c r="G18" s="735">
        <f t="shared" ref="G18:G24" si="1">E18</f>
        <v>782332533.60000002</v>
      </c>
      <c r="H18" s="39"/>
    </row>
    <row r="19" spans="1:8" ht="12.75" customHeight="1" x14ac:dyDescent="0.25">
      <c r="A19" s="39" t="s">
        <v>278</v>
      </c>
      <c r="B19" s="169"/>
      <c r="C19" s="748"/>
      <c r="D19" s="753"/>
      <c r="E19" s="733">
        <v>0</v>
      </c>
      <c r="F19" s="733"/>
      <c r="G19" s="735"/>
      <c r="H19" s="39"/>
    </row>
    <row r="20" spans="1:8" ht="12.75" customHeight="1" x14ac:dyDescent="0.25">
      <c r="A20" s="39" t="s">
        <v>584</v>
      </c>
      <c r="B20" s="169"/>
      <c r="C20" s="748">
        <v>6588894508</v>
      </c>
      <c r="D20" s="753">
        <v>7111997635.7252645</v>
      </c>
      <c r="E20" s="733">
        <v>7285796412.2295036</v>
      </c>
      <c r="F20" s="733">
        <v>6466714655.7900047</v>
      </c>
      <c r="G20" s="735">
        <f t="shared" si="1"/>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v>1070250</v>
      </c>
      <c r="D22" s="753">
        <v>1065650.33</v>
      </c>
      <c r="E22" s="733">
        <v>1065650.33</v>
      </c>
      <c r="F22" s="733">
        <v>1070250</v>
      </c>
      <c r="G22" s="735">
        <f t="shared" si="1"/>
        <v>1065650.33</v>
      </c>
      <c r="H22" s="39"/>
    </row>
    <row r="23" spans="1:8" ht="12.75" customHeight="1" x14ac:dyDescent="0.25">
      <c r="A23" s="39" t="s">
        <v>1334</v>
      </c>
      <c r="B23" s="169"/>
      <c r="C23" s="748">
        <v>30700413</v>
      </c>
      <c r="D23" s="753">
        <v>46132727.226800002</v>
      </c>
      <c r="E23" s="733">
        <v>46132727.226800002</v>
      </c>
      <c r="F23" s="733">
        <v>20226515.650000006</v>
      </c>
      <c r="G23" s="735">
        <f t="shared" si="1"/>
        <v>46132727.226800002</v>
      </c>
      <c r="H23" s="39"/>
    </row>
    <row r="24" spans="1:8" ht="12.75" customHeight="1" x14ac:dyDescent="0.25">
      <c r="A24" s="39" t="s">
        <v>795</v>
      </c>
      <c r="B24" s="169"/>
      <c r="C24" s="748">
        <v>345024972</v>
      </c>
      <c r="D24" s="753">
        <v>395927434.26520002</v>
      </c>
      <c r="E24" s="733">
        <v>395927434.26520002</v>
      </c>
      <c r="F24" s="733">
        <v>96300000</v>
      </c>
      <c r="G24" s="735">
        <f t="shared" si="1"/>
        <v>395927434.26520002</v>
      </c>
      <c r="H24" s="39"/>
    </row>
    <row r="25" spans="1:8" ht="12.75" customHeight="1" x14ac:dyDescent="0.25">
      <c r="A25" s="92" t="s">
        <v>631</v>
      </c>
      <c r="B25" s="233"/>
      <c r="C25" s="243">
        <f>SUM(C16:C20)+SUM(C22:C24)</f>
        <v>7787361578</v>
      </c>
      <c r="D25" s="260">
        <f>SUM(D16:D20)+SUM(D22:D24)</f>
        <v>8340425652.5764656</v>
      </c>
      <c r="E25" s="73">
        <f>SUM(E16:E20)+SUM(E22:E24)</f>
        <v>8511254429.0807037</v>
      </c>
      <c r="F25" s="73">
        <f>SUM(F16:F20)+SUM(F22:F24)</f>
        <v>7461453756.3700047</v>
      </c>
      <c r="G25" s="145">
        <f>SUM(G16:G20)+SUM(G22:G24)</f>
        <v>8511254429.0807037</v>
      </c>
      <c r="H25" s="39"/>
    </row>
    <row r="26" spans="1:8" ht="12.75" customHeight="1" x14ac:dyDescent="0.25">
      <c r="A26" s="92" t="s">
        <v>778</v>
      </c>
      <c r="B26" s="233"/>
      <c r="C26" s="243">
        <f>C13+C25</f>
        <v>10649230298.57</v>
      </c>
      <c r="D26" s="260">
        <f>D13+D25</f>
        <v>11312770417.220949</v>
      </c>
      <c r="E26" s="73">
        <f>E13+E25</f>
        <v>11205428173.43997</v>
      </c>
      <c r="F26" s="73">
        <f>F13+F25</f>
        <v>10062732354.190002</v>
      </c>
      <c r="G26" s="145">
        <f>G13+G25</f>
        <v>11205428173.43997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v>113418257.92</v>
      </c>
      <c r="D31" s="753">
        <v>85380595.876948789</v>
      </c>
      <c r="E31" s="733">
        <v>85380595.876948789</v>
      </c>
      <c r="F31" s="733">
        <v>81573483.560000002</v>
      </c>
      <c r="G31" s="735">
        <f t="shared" ref="G31:G34" si="2">E31</f>
        <v>85380595.876948789</v>
      </c>
    </row>
    <row r="32" spans="1:8" ht="12.75" customHeight="1" x14ac:dyDescent="0.25">
      <c r="A32" s="39" t="s">
        <v>583</v>
      </c>
      <c r="B32" s="169"/>
      <c r="C32" s="748">
        <v>113838915</v>
      </c>
      <c r="D32" s="753">
        <v>114344430.65218705</v>
      </c>
      <c r="E32" s="733">
        <v>114344430.65218705</v>
      </c>
      <c r="F32" s="733">
        <v>128836469.09</v>
      </c>
      <c r="G32" s="735">
        <f t="shared" si="2"/>
        <v>114344430.65218705</v>
      </c>
    </row>
    <row r="33" spans="1:7" ht="12.75" customHeight="1" x14ac:dyDescent="0.25">
      <c r="A33" s="39" t="s">
        <v>787</v>
      </c>
      <c r="B33" s="169"/>
      <c r="C33" s="748">
        <v>1624206606</v>
      </c>
      <c r="D33" s="753">
        <v>1101595513.0999999</v>
      </c>
      <c r="E33" s="733">
        <v>1005724626.099849</v>
      </c>
      <c r="F33" s="733">
        <v>1753402105.1300001</v>
      </c>
      <c r="G33" s="735">
        <f t="shared" si="2"/>
        <v>1005724626.099849</v>
      </c>
    </row>
    <row r="34" spans="1:7" ht="12.75" customHeight="1" x14ac:dyDescent="0.25">
      <c r="A34" s="39" t="s">
        <v>546</v>
      </c>
      <c r="B34" s="169"/>
      <c r="C34" s="748">
        <v>41864143</v>
      </c>
      <c r="D34" s="753">
        <v>140397811.785</v>
      </c>
      <c r="E34" s="733">
        <v>140397811.785</v>
      </c>
      <c r="F34" s="733">
        <v>40855749.600000001</v>
      </c>
      <c r="G34" s="735">
        <f t="shared" si="2"/>
        <v>140397811.785</v>
      </c>
    </row>
    <row r="35" spans="1:7" ht="12.75" customHeight="1" x14ac:dyDescent="0.25">
      <c r="A35" s="92" t="s">
        <v>459</v>
      </c>
      <c r="B35" s="233"/>
      <c r="C35" s="243">
        <f>SUM(C30:C34)</f>
        <v>1893327921.9200001</v>
      </c>
      <c r="D35" s="260">
        <f>SUM(D30:D34)</f>
        <v>1441718351.4141357</v>
      </c>
      <c r="E35" s="73">
        <f>SUM(E30:E34)</f>
        <v>1345847464.413985</v>
      </c>
      <c r="F35" s="73">
        <f>SUM(F30:F34)</f>
        <v>2004667807.3800001</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v>285317995.64999998</v>
      </c>
      <c r="D38" s="753">
        <v>282085537</v>
      </c>
      <c r="E38" s="733">
        <v>282085537</v>
      </c>
      <c r="F38" s="733">
        <v>203744511.77000001</v>
      </c>
      <c r="G38" s="735">
        <f t="shared" ref="G38:G39" si="3">E38</f>
        <v>282085537</v>
      </c>
    </row>
    <row r="39" spans="1:7" ht="12.75" customHeight="1" x14ac:dyDescent="0.25">
      <c r="A39" s="39" t="s">
        <v>546</v>
      </c>
      <c r="B39" s="169"/>
      <c r="C39" s="748">
        <v>531179840</v>
      </c>
      <c r="D39" s="753">
        <v>809779414.93056619</v>
      </c>
      <c r="E39" s="733">
        <v>809779414.93056619</v>
      </c>
      <c r="F39" s="733">
        <v>578975839.02999997</v>
      </c>
      <c r="G39" s="735">
        <f t="shared" si="3"/>
        <v>809779414.93056619</v>
      </c>
    </row>
    <row r="40" spans="1:7" ht="12.75" customHeight="1" x14ac:dyDescent="0.25">
      <c r="A40" s="92" t="s">
        <v>458</v>
      </c>
      <c r="B40" s="233"/>
      <c r="C40" s="243">
        <f>SUM(C38:C39)</f>
        <v>816497835.64999998</v>
      </c>
      <c r="D40" s="260">
        <f>SUM(D38:D39)</f>
        <v>1091864951.9305663</v>
      </c>
      <c r="E40" s="73">
        <f>SUM(E38:E39)</f>
        <v>1091864951.9305663</v>
      </c>
      <c r="F40" s="73">
        <f>SUM(F38:F39)</f>
        <v>782720350.79999995</v>
      </c>
      <c r="G40" s="145">
        <f>SUM(G38:G39)</f>
        <v>1091864951.9305663</v>
      </c>
    </row>
    <row r="41" spans="1:7" ht="12.75" customHeight="1" x14ac:dyDescent="0.25">
      <c r="A41" s="92" t="s">
        <v>1</v>
      </c>
      <c r="B41" s="233"/>
      <c r="C41" s="243">
        <f>C35+C40</f>
        <v>2709825757.5700002</v>
      </c>
      <c r="D41" s="260">
        <f>D35+D40</f>
        <v>2533583303.3447018</v>
      </c>
      <c r="E41" s="73">
        <f>E35+E40</f>
        <v>2437712416.3445511</v>
      </c>
      <c r="F41" s="73">
        <f>F35+F40</f>
        <v>2787388158.1800003</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7939404541</v>
      </c>
      <c r="D43" s="265">
        <f>D26-D41</f>
        <v>8779187113.8762474</v>
      </c>
      <c r="E43" s="76">
        <f>E26-E41</f>
        <v>8767715757.0954189</v>
      </c>
      <c r="F43" s="76">
        <f>F26-F41</f>
        <v>7275344196.0100021</v>
      </c>
      <c r="G43" s="234">
        <f>G26-G41</f>
        <v>8767715757.0954189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v>7748557372</v>
      </c>
      <c r="D46" s="753">
        <v>8550273855.8762474</v>
      </c>
      <c r="E46" s="733">
        <v>8538802498.9995632</v>
      </c>
      <c r="F46" s="733">
        <v>7081277517.54</v>
      </c>
      <c r="G46" s="735">
        <f t="shared" ref="G46:G47" si="4">E46</f>
        <v>8538802498.9995632</v>
      </c>
    </row>
    <row r="47" spans="1:7" ht="12.75" customHeight="1" x14ac:dyDescent="0.25">
      <c r="A47" s="39" t="s">
        <v>902</v>
      </c>
      <c r="B47" s="169"/>
      <c r="C47" s="748">
        <v>190847169</v>
      </c>
      <c r="D47" s="753">
        <v>228913258</v>
      </c>
      <c r="E47" s="733">
        <v>228913258.09585571</v>
      </c>
      <c r="F47" s="733">
        <v>194066678.38999999</v>
      </c>
      <c r="G47" s="735">
        <f t="shared" si="4"/>
        <v>228913258.09585571</v>
      </c>
    </row>
    <row r="48" spans="1:7" ht="12.75" customHeight="1" x14ac:dyDescent="0.25">
      <c r="A48" s="53" t="s">
        <v>626</v>
      </c>
      <c r="B48" s="236">
        <v>2</v>
      </c>
      <c r="C48" s="112">
        <f>SUM(C46:C47)</f>
        <v>7939404541</v>
      </c>
      <c r="D48" s="271">
        <f>SUM(D46:D47)</f>
        <v>8779187113.8762474</v>
      </c>
      <c r="E48" s="55">
        <f>SUM(E46:E47)</f>
        <v>8767715757.0954189</v>
      </c>
      <c r="F48" s="55">
        <f>SUM(F46:F47)</f>
        <v>7275344195.9300003</v>
      </c>
      <c r="G48" s="235">
        <f>SUM(G46:G47)</f>
        <v>8767715757.0954189</v>
      </c>
    </row>
    <row r="49" spans="1:7" ht="12.75" customHeight="1" x14ac:dyDescent="0.25">
      <c r="A49" s="78" t="str">
        <f>head27a</f>
        <v>References</v>
      </c>
      <c r="B49" s="58"/>
      <c r="C49" s="49"/>
      <c r="D49" s="49"/>
      <c r="E49" s="49"/>
      <c r="F49" s="49"/>
      <c r="G49" s="49"/>
    </row>
    <row r="50" spans="1:7" ht="13.5" customHeight="1" x14ac:dyDescent="0.25">
      <c r="A50" s="1059" t="s">
        <v>145</v>
      </c>
      <c r="B50" s="1059"/>
      <c r="C50" s="1059"/>
      <c r="D50" s="1059"/>
      <c r="E50" s="1059"/>
      <c r="F50" s="1059"/>
      <c r="G50" s="1059"/>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8.00018310546875E-2</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N40" sqref="N40"/>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"&amp;S71F&amp; " - "&amp;date</f>
        <v>KZN225 Msunduzi - Table C7 Consolidated Monthly Budget Statement - Cash Flow  - Q4 Fourth Quarter</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v>3893416276</v>
      </c>
      <c r="D7" s="745">
        <v>1079325404.9185297</v>
      </c>
      <c r="E7" s="733">
        <v>1041231567.0978758</v>
      </c>
      <c r="F7" s="733">
        <v>72091424.269999996</v>
      </c>
      <c r="G7" s="733">
        <v>137200485.66999972</v>
      </c>
      <c r="H7" s="733">
        <f t="shared" ref="H7:H12" si="0">E7/12*12</f>
        <v>1041231567.0978758</v>
      </c>
      <c r="I7" s="44">
        <f t="shared" ref="I7:I13" si="1">G7-H7</f>
        <v>-904031081.42787611</v>
      </c>
      <c r="J7" s="330">
        <f>IF(I7=0,"",I7/H7)</f>
        <v>-0.86823249505159994</v>
      </c>
      <c r="K7" s="735">
        <f>E7</f>
        <v>1041231567.0978758</v>
      </c>
    </row>
    <row r="8" spans="1:11" ht="12.75" customHeight="1" x14ac:dyDescent="0.25">
      <c r="A8" s="518" t="s">
        <v>962</v>
      </c>
      <c r="B8" s="169"/>
      <c r="C8" s="748"/>
      <c r="D8" s="745">
        <v>3039399061.9489746</v>
      </c>
      <c r="E8" s="733">
        <v>2932126153.8801875</v>
      </c>
      <c r="F8" s="733">
        <v>218966797.37000099</v>
      </c>
      <c r="G8" s="733">
        <v>405761038.22000301</v>
      </c>
      <c r="H8" s="733">
        <f t="shared" si="0"/>
        <v>2932126153.8801875</v>
      </c>
      <c r="I8" s="44">
        <f t="shared" si="1"/>
        <v>-2526365115.6601844</v>
      </c>
      <c r="J8" s="330">
        <f>IF(I8=0,"",I8/H8)</f>
        <v>-0.86161542275967729</v>
      </c>
      <c r="K8" s="735">
        <f t="shared" ref="K8:K12" si="2">E8</f>
        <v>2932126153.8801875</v>
      </c>
    </row>
    <row r="9" spans="1:11" ht="12.75" customHeight="1" x14ac:dyDescent="0.25">
      <c r="A9" s="518" t="s">
        <v>453</v>
      </c>
      <c r="B9" s="169"/>
      <c r="C9" s="748"/>
      <c r="D9" s="745">
        <v>152193014.45782498</v>
      </c>
      <c r="E9" s="733">
        <v>152193014.45782498</v>
      </c>
      <c r="F9" s="733">
        <v>108262006.36999901</v>
      </c>
      <c r="G9" s="733">
        <v>304921946.25999749</v>
      </c>
      <c r="H9" s="733">
        <f t="shared" si="0"/>
        <v>152193014.45782498</v>
      </c>
      <c r="I9" s="44">
        <f t="shared" si="1"/>
        <v>152728931.80217251</v>
      </c>
      <c r="J9" s="330">
        <f>IF(I9=0,"",I9/H9)</f>
        <v>1.0035213005423191</v>
      </c>
      <c r="K9" s="735">
        <f t="shared" si="2"/>
        <v>152193014.45782498</v>
      </c>
    </row>
    <row r="10" spans="1:11" ht="12.75" customHeight="1" x14ac:dyDescent="0.25">
      <c r="A10" s="992" t="s">
        <v>1372</v>
      </c>
      <c r="B10" s="171"/>
      <c r="C10" s="748">
        <v>1169508101</v>
      </c>
      <c r="D10" s="745">
        <v>675483240</v>
      </c>
      <c r="E10" s="733">
        <v>819982787</v>
      </c>
      <c r="F10" s="733"/>
      <c r="G10" s="733">
        <v>301948058.13999999</v>
      </c>
      <c r="H10" s="733">
        <f t="shared" si="0"/>
        <v>819982787</v>
      </c>
      <c r="I10" s="44">
        <f t="shared" si="1"/>
        <v>-518034728.86000001</v>
      </c>
      <c r="J10" s="330">
        <f>IF(I10=0,"",I10/H10)</f>
        <v>-0.63176293096991565</v>
      </c>
      <c r="K10" s="735">
        <f t="shared" si="2"/>
        <v>819982787</v>
      </c>
    </row>
    <row r="11" spans="1:11" ht="12.75" customHeight="1" x14ac:dyDescent="0.25">
      <c r="A11" s="992" t="s">
        <v>1373</v>
      </c>
      <c r="B11" s="171"/>
      <c r="C11" s="748"/>
      <c r="D11" s="745">
        <v>525891580.99999982</v>
      </c>
      <c r="E11" s="733">
        <v>526485334.99999982</v>
      </c>
      <c r="F11" s="733">
        <v>4215397.12</v>
      </c>
      <c r="G11" s="733">
        <v>34561789.240000002</v>
      </c>
      <c r="H11" s="733">
        <f t="shared" si="0"/>
        <v>526485334.99999976</v>
      </c>
      <c r="I11" s="44">
        <f t="shared" si="1"/>
        <v>-491923545.75999975</v>
      </c>
      <c r="J11" s="330">
        <f t="shared" ref="J11:J18" si="3">IF(I11=0,"",I11/H11)</f>
        <v>-0.93435374749801903</v>
      </c>
      <c r="K11" s="735">
        <f t="shared" si="2"/>
        <v>526485334.99999982</v>
      </c>
    </row>
    <row r="12" spans="1:11" ht="12.75" customHeight="1" x14ac:dyDescent="0.25">
      <c r="A12" s="86" t="s">
        <v>886</v>
      </c>
      <c r="B12" s="171"/>
      <c r="C12" s="748">
        <v>45593332</v>
      </c>
      <c r="D12" s="745">
        <v>185060483.86592242</v>
      </c>
      <c r="E12" s="733">
        <v>185169383.865922</v>
      </c>
      <c r="F12" s="733">
        <v>51714</v>
      </c>
      <c r="G12" s="733">
        <v>388250</v>
      </c>
      <c r="H12" s="733">
        <f t="shared" si="0"/>
        <v>185169383.865922</v>
      </c>
      <c r="I12" s="44">
        <f t="shared" si="1"/>
        <v>-184781133.865922</v>
      </c>
      <c r="J12" s="330">
        <f t="shared" si="3"/>
        <v>-0.99790327109215249</v>
      </c>
      <c r="K12" s="735">
        <f t="shared" si="2"/>
        <v>185169383.865922</v>
      </c>
    </row>
    <row r="13" spans="1:11" ht="12.75" customHeight="1" x14ac:dyDescent="0.25">
      <c r="A13" s="86" t="s">
        <v>666</v>
      </c>
      <c r="B13" s="171"/>
      <c r="C13" s="748"/>
      <c r="D13" s="745"/>
      <c r="E13" s="733"/>
      <c r="F13" s="733"/>
      <c r="G13" s="733"/>
      <c r="H13" s="733"/>
      <c r="I13" s="44">
        <f t="shared" si="1"/>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v>-4385977162</v>
      </c>
      <c r="D15" s="745">
        <v>-4847945682.0956488</v>
      </c>
      <c r="E15" s="733">
        <v>-4980315359.5587177</v>
      </c>
      <c r="F15" s="733">
        <f>(((((((-499096406.78-1167576)+-1316488)+-1231860)+-878964)+-1110463)+-1325002)+-1450141)+-1074320</f>
        <v>-508651220.77999997</v>
      </c>
      <c r="G15" s="733">
        <v>-1213692729.0799999</v>
      </c>
      <c r="H15" s="733">
        <f t="shared" ref="H15:H17" si="4">E15/12*12</f>
        <v>-4980315359.5587177</v>
      </c>
      <c r="I15" s="44">
        <f>H15-G15</f>
        <v>-3766622630.4787178</v>
      </c>
      <c r="J15" s="330">
        <f t="shared" si="3"/>
        <v>0.75630203281192632</v>
      </c>
      <c r="K15" s="735">
        <f t="shared" ref="K15:K17" si="5">E15</f>
        <v>-4980315359.5587177</v>
      </c>
    </row>
    <row r="16" spans="1:11" ht="12.75" customHeight="1" x14ac:dyDescent="0.25">
      <c r="A16" s="86" t="s">
        <v>452</v>
      </c>
      <c r="B16" s="171"/>
      <c r="C16" s="748">
        <v>-46314311</v>
      </c>
      <c r="D16" s="745">
        <v>-31793212.220000003</v>
      </c>
      <c r="E16" s="733">
        <v>-36505334.219999969</v>
      </c>
      <c r="F16" s="733">
        <v>-7584129.6500000004</v>
      </c>
      <c r="G16" s="733">
        <v>-12188526.43</v>
      </c>
      <c r="H16" s="733">
        <f t="shared" si="4"/>
        <v>-36505334.219999969</v>
      </c>
      <c r="I16" s="44">
        <f>H16-G16</f>
        <v>-24316807.789999969</v>
      </c>
      <c r="J16" s="330">
        <f t="shared" si="3"/>
        <v>0.66611656377268991</v>
      </c>
      <c r="K16" s="735">
        <f t="shared" si="5"/>
        <v>-36505334.219999969</v>
      </c>
    </row>
    <row r="17" spans="1:11" ht="12.75" customHeight="1" x14ac:dyDescent="0.25">
      <c r="A17" s="86" t="s">
        <v>69</v>
      </c>
      <c r="B17" s="171"/>
      <c r="C17" s="748"/>
      <c r="D17" s="745">
        <v>-25080461.44304001</v>
      </c>
      <c r="E17" s="733">
        <v>-46080462</v>
      </c>
      <c r="F17" s="733"/>
      <c r="G17" s="733"/>
      <c r="H17" s="733">
        <f t="shared" si="4"/>
        <v>-46080462</v>
      </c>
      <c r="I17" s="44">
        <f>H17-G17</f>
        <v>-46080462</v>
      </c>
      <c r="J17" s="330">
        <f t="shared" si="3"/>
        <v>1</v>
      </c>
      <c r="K17" s="735">
        <f t="shared" si="5"/>
        <v>-46080462</v>
      </c>
    </row>
    <row r="18" spans="1:11" ht="12.75" customHeight="1" x14ac:dyDescent="0.25">
      <c r="A18" s="92" t="s">
        <v>889</v>
      </c>
      <c r="B18" s="233"/>
      <c r="C18" s="243">
        <f t="shared" ref="C18:H18" si="6">SUM(C7:C13)+SUM(C15:C17)</f>
        <v>676226236</v>
      </c>
      <c r="D18" s="74">
        <f t="shared" si="6"/>
        <v>752533430.43256187</v>
      </c>
      <c r="E18" s="73">
        <f t="shared" si="6"/>
        <v>594287085.52309227</v>
      </c>
      <c r="F18" s="73">
        <f t="shared" si="6"/>
        <v>-112648011.29999995</v>
      </c>
      <c r="G18" s="73">
        <f t="shared" si="6"/>
        <v>-41099687.979999781</v>
      </c>
      <c r="H18" s="73">
        <f t="shared" si="6"/>
        <v>594287085.52309227</v>
      </c>
      <c r="I18" s="73">
        <f>H18-G18</f>
        <v>635386773.50309205</v>
      </c>
      <c r="J18" s="331">
        <f t="shared" si="3"/>
        <v>1.0691579692394355</v>
      </c>
      <c r="K18" s="145">
        <f>SUM(K7:K13)+SUM(K15:K17)</f>
        <v>594287085.52309227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v>117306</v>
      </c>
      <c r="G22" s="733">
        <v>602360</v>
      </c>
      <c r="H22" s="733"/>
      <c r="I22" s="44">
        <f>G22-H22</f>
        <v>602360</v>
      </c>
      <c r="J22" s="330" t="e">
        <f t="shared" ref="J22:J28" si="7">IF(I22=0,"",I22/H22)</f>
        <v>#DIV/0!</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v>166278</v>
      </c>
      <c r="D24" s="745"/>
      <c r="E24" s="733"/>
      <c r="F24" s="733"/>
      <c r="G24" s="733"/>
      <c r="H24" s="733"/>
      <c r="I24" s="44">
        <f>G24-H24</f>
        <v>0</v>
      </c>
      <c r="J24" s="330" t="str">
        <f t="shared" si="7"/>
        <v/>
      </c>
      <c r="K24" s="735"/>
    </row>
    <row r="25" spans="1:11" ht="12.75" customHeight="1" x14ac:dyDescent="0.25">
      <c r="A25" s="39" t="s">
        <v>888</v>
      </c>
      <c r="B25" s="169"/>
      <c r="C25" s="748">
        <v>17040365</v>
      </c>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v>-399050648</v>
      </c>
      <c r="D27" s="745">
        <v>-580891580.99999988</v>
      </c>
      <c r="E27" s="733">
        <v>-747190357.77999985</v>
      </c>
      <c r="F27" s="733">
        <v>-51761383.259999998</v>
      </c>
      <c r="G27" s="733">
        <v>-33772778.490000002</v>
      </c>
      <c r="H27" s="733">
        <f>E27/12*12</f>
        <v>-747190357.77999985</v>
      </c>
      <c r="I27" s="44">
        <f>H27-G27</f>
        <v>-713417579.28999984</v>
      </c>
      <c r="J27" s="330">
        <f t="shared" si="7"/>
        <v>0.95480030204037514</v>
      </c>
      <c r="K27" s="735">
        <f>E27</f>
        <v>-747190357.77999985</v>
      </c>
    </row>
    <row r="28" spans="1:11" ht="12.75" customHeight="1" x14ac:dyDescent="0.25">
      <c r="A28" s="92" t="s">
        <v>890</v>
      </c>
      <c r="B28" s="233"/>
      <c r="C28" s="545">
        <f t="shared" ref="C28:H28" si="8">SUM(C22:C25)+C27</f>
        <v>-381844005</v>
      </c>
      <c r="D28" s="74">
        <f>SUM(D22:D25)+D27</f>
        <v>-580891580.99999988</v>
      </c>
      <c r="E28" s="73">
        <f t="shared" si="8"/>
        <v>-747190357.77999985</v>
      </c>
      <c r="F28" s="73">
        <f t="shared" si="8"/>
        <v>-51644077.259999998</v>
      </c>
      <c r="G28" s="73">
        <f t="shared" si="8"/>
        <v>-33170418.490000002</v>
      </c>
      <c r="H28" s="73">
        <f t="shared" si="8"/>
        <v>-747190357.77999985</v>
      </c>
      <c r="I28" s="73">
        <f>H28-G28</f>
        <v>-714019939.28999984</v>
      </c>
      <c r="J28" s="331">
        <f t="shared" si="7"/>
        <v>0.95560646876044597</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v>-83600511</v>
      </c>
      <c r="D36" s="745">
        <v>-79206000</v>
      </c>
      <c r="E36" s="733">
        <v>-79206000</v>
      </c>
      <c r="F36" s="733">
        <v>-19566786.379999999</v>
      </c>
      <c r="G36" s="733">
        <v>-20256190.370000001</v>
      </c>
      <c r="H36" s="733">
        <f>E36/12*12</f>
        <v>-79206000</v>
      </c>
      <c r="I36" s="44">
        <f>H36-G36</f>
        <v>-58949809.629999995</v>
      </c>
      <c r="J36" s="330">
        <f t="shared" si="9"/>
        <v>0.74425939486907555</v>
      </c>
      <c r="K36" s="735">
        <f>E36</f>
        <v>-79206000</v>
      </c>
    </row>
    <row r="37" spans="1:11" ht="12.75" customHeight="1" x14ac:dyDescent="0.25">
      <c r="A37" s="92" t="s">
        <v>891</v>
      </c>
      <c r="B37" s="233"/>
      <c r="C37" s="545">
        <f t="shared" ref="C37:H37" si="10">SUM(C32:C34)+C36</f>
        <v>-83600511</v>
      </c>
      <c r="D37" s="74">
        <f t="shared" si="10"/>
        <v>-79206000</v>
      </c>
      <c r="E37" s="73">
        <f t="shared" si="10"/>
        <v>-79206000</v>
      </c>
      <c r="F37" s="73">
        <f t="shared" si="10"/>
        <v>-19566786.379999999</v>
      </c>
      <c r="G37" s="73">
        <f t="shared" si="10"/>
        <v>-20256190.370000001</v>
      </c>
      <c r="H37" s="73">
        <f t="shared" si="10"/>
        <v>-79206000</v>
      </c>
      <c r="I37" s="73">
        <f>H37-G37</f>
        <v>-58949809.629999995</v>
      </c>
      <c r="J37" s="331">
        <f t="shared" si="9"/>
        <v>0.74425939486907555</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210781720</v>
      </c>
      <c r="D39" s="51">
        <f t="shared" si="11"/>
        <v>92435849.432561994</v>
      </c>
      <c r="E39" s="50">
        <f t="shared" si="11"/>
        <v>-232109272.25690758</v>
      </c>
      <c r="F39" s="50">
        <f t="shared" si="11"/>
        <v>-183858874.93999994</v>
      </c>
      <c r="G39" s="50">
        <f t="shared" si="11"/>
        <v>-94526296.839999795</v>
      </c>
      <c r="H39" s="50">
        <f t="shared" si="11"/>
        <v>-232109272.25690758</v>
      </c>
      <c r="I39" s="327"/>
      <c r="J39" s="327"/>
      <c r="K39" s="194">
        <f>K18+K28+K37</f>
        <v>-232109272.25690758</v>
      </c>
    </row>
    <row r="40" spans="1:11" ht="12.75" customHeight="1" x14ac:dyDescent="0.25">
      <c r="A40" s="39" t="s">
        <v>505</v>
      </c>
      <c r="B40" s="169"/>
      <c r="C40" s="748">
        <v>308195245</v>
      </c>
      <c r="D40" s="745">
        <v>290000000</v>
      </c>
      <c r="E40" s="733">
        <v>518976967</v>
      </c>
      <c r="F40" s="273"/>
      <c r="G40" s="733">
        <v>470048249</v>
      </c>
      <c r="H40" s="44">
        <f>IF(E40=0, D40, E40)</f>
        <v>518976967</v>
      </c>
      <c r="I40" s="273"/>
      <c r="J40" s="273"/>
      <c r="K40" s="385">
        <f>G40</f>
        <v>470048249</v>
      </c>
    </row>
    <row r="41" spans="1:11" ht="12.75" customHeight="1" x14ac:dyDescent="0.25">
      <c r="A41" s="129" t="s">
        <v>55</v>
      </c>
      <c r="B41" s="119"/>
      <c r="C41" s="225">
        <f>C39+C40</f>
        <v>518976965</v>
      </c>
      <c r="D41" s="116">
        <f>D39+D40</f>
        <v>382435849.43256199</v>
      </c>
      <c r="E41" s="115">
        <f>E39+E40</f>
        <v>286867694.74309242</v>
      </c>
      <c r="F41" s="274"/>
      <c r="G41" s="115">
        <f>G39+G40</f>
        <v>375521952.16000021</v>
      </c>
      <c r="H41" s="115">
        <f>H39+H40</f>
        <v>286867694.74309242</v>
      </c>
      <c r="I41" s="274"/>
      <c r="J41" s="274"/>
      <c r="K41" s="190">
        <f>K39+K40</f>
        <v>237938976.74309242</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C16" sqref="C16"/>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6" t="str">
        <f>muni&amp; " - "&amp;S71G&amp; " - "&amp;date</f>
        <v>KZN225 Msunduzi - Supporting Table SC1 Material variance explanations  - Q4 Fourth Quarter</v>
      </c>
      <c r="B1" s="1056"/>
      <c r="C1" s="1056"/>
      <c r="D1" s="1056"/>
      <c r="E1" s="1056"/>
    </row>
    <row r="2" spans="1:5" x14ac:dyDescent="0.25">
      <c r="A2" s="1038" t="str">
        <f>head27</f>
        <v>Ref</v>
      </c>
      <c r="B2" s="1045" t="str">
        <f>desc</f>
        <v>Description</v>
      </c>
      <c r="C2" s="269"/>
      <c r="D2" s="269"/>
      <c r="E2" s="275"/>
    </row>
    <row r="3" spans="1:5" x14ac:dyDescent="0.25">
      <c r="A3" s="1049"/>
      <c r="B3" s="1046"/>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1005">
        <v>-0.53051261382853954</v>
      </c>
      <c r="D6" s="758" t="s">
        <v>1476</v>
      </c>
      <c r="E6" s="758" t="s">
        <v>1477</v>
      </c>
    </row>
    <row r="7" spans="1:5" ht="11.25" customHeight="1" x14ac:dyDescent="0.25">
      <c r="A7" s="169"/>
      <c r="B7" s="758" t="s">
        <v>838</v>
      </c>
      <c r="C7" s="1005">
        <v>-0.44589219464196739</v>
      </c>
      <c r="D7" s="758" t="s">
        <v>1478</v>
      </c>
      <c r="E7" s="758" t="s">
        <v>1477</v>
      </c>
    </row>
    <row r="8" spans="1:5" ht="11.25" customHeight="1" x14ac:dyDescent="0.25">
      <c r="A8" s="169"/>
      <c r="B8" s="758" t="s">
        <v>1117</v>
      </c>
      <c r="C8" s="1005">
        <v>8.4413394787680041</v>
      </c>
      <c r="D8" s="758" t="s">
        <v>1479</v>
      </c>
      <c r="E8" s="758" t="s">
        <v>1480</v>
      </c>
    </row>
    <row r="9" spans="1:5" ht="11.25" customHeight="1" x14ac:dyDescent="0.25">
      <c r="A9" s="169"/>
      <c r="B9" s="758" t="s">
        <v>840</v>
      </c>
      <c r="C9" s="1005">
        <v>-0.49632474887230166</v>
      </c>
      <c r="D9" s="758" t="s">
        <v>1481</v>
      </c>
      <c r="E9" s="758" t="s">
        <v>1477</v>
      </c>
    </row>
    <row r="10" spans="1:5" ht="11.25" customHeight="1" x14ac:dyDescent="0.25">
      <c r="A10" s="169">
        <v>2</v>
      </c>
      <c r="B10" s="386" t="str">
        <f>'C4-FinPerf RE'!A24</f>
        <v>Expenditure By Type</v>
      </c>
      <c r="C10" s="387"/>
      <c r="D10" s="387"/>
      <c r="E10" s="387"/>
    </row>
    <row r="11" spans="1:5" ht="11.25" customHeight="1" x14ac:dyDescent="0.25">
      <c r="A11" s="169"/>
      <c r="B11" s="758" t="s">
        <v>611</v>
      </c>
      <c r="C11" s="1005">
        <v>2.1001435297991682</v>
      </c>
      <c r="D11" s="758" t="s">
        <v>1482</v>
      </c>
      <c r="E11" s="758" t="s">
        <v>1483</v>
      </c>
    </row>
    <row r="12" spans="1:5" ht="11.25" customHeight="1" x14ac:dyDescent="0.25">
      <c r="A12" s="169"/>
      <c r="B12" s="758" t="s">
        <v>664</v>
      </c>
      <c r="C12" s="1005">
        <v>-0.12270150357546415</v>
      </c>
      <c r="D12" s="758" t="s">
        <v>1484</v>
      </c>
      <c r="E12" s="758" t="s">
        <v>1483</v>
      </c>
    </row>
    <row r="13" spans="1:5" ht="11.25" customHeight="1" x14ac:dyDescent="0.25">
      <c r="A13" s="169"/>
      <c r="B13" s="758" t="s">
        <v>920</v>
      </c>
      <c r="C13" s="1005">
        <v>-0.12211631050141232</v>
      </c>
      <c r="D13" s="758" t="s">
        <v>1485</v>
      </c>
      <c r="E13" s="758" t="s">
        <v>1486</v>
      </c>
    </row>
    <row r="14" spans="1:5" ht="11.25" customHeight="1" x14ac:dyDescent="0.25">
      <c r="A14" s="169"/>
      <c r="B14" s="758" t="s">
        <v>1118</v>
      </c>
      <c r="C14" s="1005">
        <v>-0.72828890349407815</v>
      </c>
      <c r="D14" s="758" t="s">
        <v>1487</v>
      </c>
      <c r="E14" s="758" t="s">
        <v>1486</v>
      </c>
    </row>
    <row r="15" spans="1:5" ht="11.25" customHeight="1" x14ac:dyDescent="0.25">
      <c r="A15" s="169">
        <v>3</v>
      </c>
      <c r="B15" s="386" t="str">
        <f>RIGHT('C5-Capex'!A40,19)</f>
        <v>Capital Expenditure</v>
      </c>
      <c r="C15" s="387"/>
      <c r="D15" s="387"/>
      <c r="E15" s="387"/>
    </row>
    <row r="16" spans="1:5" ht="11.25" customHeight="1" x14ac:dyDescent="0.25">
      <c r="A16" s="169"/>
      <c r="B16" s="758" t="s">
        <v>892</v>
      </c>
      <c r="C16" s="1005">
        <v>-8.1986797102160905E-2</v>
      </c>
      <c r="D16" s="758" t="s">
        <v>1488</v>
      </c>
      <c r="E16" s="758" t="s">
        <v>1487</v>
      </c>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6" t="str">
        <f>muni&amp; " - "&amp;S71H&amp; " - "&amp;Head57</f>
        <v>KZN225 Msunduzi - Supporting Table SC2 Monthly Budget Statement - performance indicators   - Q4 Fourth Quarter</v>
      </c>
      <c r="B1" s="1056"/>
      <c r="C1" s="1056"/>
      <c r="D1" s="1056"/>
      <c r="E1" s="1056"/>
      <c r="F1" s="1056"/>
      <c r="G1" s="1056"/>
      <c r="H1" s="1056"/>
    </row>
    <row r="2" spans="1:11" ht="12.75" x14ac:dyDescent="0.25">
      <c r="A2" s="1061" t="s">
        <v>554</v>
      </c>
      <c r="B2" s="1045" t="s">
        <v>772</v>
      </c>
      <c r="C2" s="1038" t="str">
        <f>head27</f>
        <v>Ref</v>
      </c>
      <c r="D2" s="138" t="str">
        <f>Head1</f>
        <v>2019/20</v>
      </c>
      <c r="E2" s="245" t="str">
        <f>Head2</f>
        <v>Budget Year 2020/21</v>
      </c>
      <c r="F2" s="229"/>
      <c r="G2" s="229"/>
      <c r="H2" s="230"/>
    </row>
    <row r="3" spans="1:11" ht="25.5" x14ac:dyDescent="0.25">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-7.1647309115251481E-3</v>
      </c>
      <c r="E7" s="282">
        <f>IF(ISERROR((E42+E44)/E45),0,((E42+E44)/E45))</f>
        <v>9.4577502287489235E-2</v>
      </c>
      <c r="F7" s="124">
        <f>IF(ISERROR((F42+F44)/F45),0,((F42+F44)/F45))</f>
        <v>9.1474170348435677E-2</v>
      </c>
      <c r="G7" s="124">
        <f>IF(ISERROR((G42+G44)/G45),0,((G42+G44)/G45))</f>
        <v>6.2120127404497868E-3</v>
      </c>
      <c r="H7" s="276">
        <f>IF(ISERROR((H42+H44)/H45),0,((H42+H44)/H45))</f>
        <v>1.5891650905154837E-2</v>
      </c>
    </row>
    <row r="8" spans="1:11" ht="30" customHeight="1" x14ac:dyDescent="0.25">
      <c r="A8" s="126" t="s">
        <v>1056</v>
      </c>
      <c r="B8" s="123" t="s">
        <v>66</v>
      </c>
      <c r="C8" s="174"/>
      <c r="D8" s="120">
        <f>IF(ISERROR(D47/D46),0,(D47/D46))</f>
        <v>8.8147799056388886E-3</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0.25479780619859965</v>
      </c>
      <c r="E10" s="282">
        <f>IF(ISERROR(E48/E49),0,(E48/E49))</f>
        <v>0.16733458655357425</v>
      </c>
      <c r="F10" s="124">
        <f>IF(ISERROR(F48/F49),0,(F48/F49))</f>
        <v>0.15661898686274364</v>
      </c>
      <c r="G10" s="124">
        <f>IF(ISERROR(G48/G49),0,(G48/G49))</f>
        <v>0.28022318196306206</v>
      </c>
      <c r="H10" s="276">
        <f>IF(ISERROR(H48/H49),0,(H48/H49))</f>
        <v>0.15661898686274364</v>
      </c>
    </row>
    <row r="11" spans="1:11" ht="12.75" customHeight="1" x14ac:dyDescent="0.25">
      <c r="A11" s="126" t="s">
        <v>735</v>
      </c>
      <c r="B11" s="123" t="s">
        <v>719</v>
      </c>
      <c r="C11" s="174"/>
      <c r="D11" s="120">
        <f>IF(ISERROR(D51/D50),0,(D51/D50))</f>
        <v>1.4950077443904866</v>
      </c>
      <c r="E11" s="282">
        <f>IF(ISERROR(E51/E50),0,(E51/E50))</f>
        <v>1.2322813430054802</v>
      </c>
      <c r="F11" s="124">
        <f>IF(ISERROR(F51/F50),0,(F51/F50))</f>
        <v>1.2322813424894716</v>
      </c>
      <c r="G11" s="124">
        <f>IF(ISERROR(G51/G50),0,(G51/G50))</f>
        <v>1.0498685990829981</v>
      </c>
      <c r="H11" s="276">
        <f>IF(ISERROR(H51/H50),0,(H51/H50))</f>
        <v>1.2322813424894716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1.5115547008189762</v>
      </c>
      <c r="E13" s="282">
        <f>IF(ISERROR(E52/E53),0,(E52/E53))</f>
        <v>2.0616681210508312</v>
      </c>
      <c r="F13" s="124">
        <f>IF(ISERROR(F52/F53),0,(F52/F53))</f>
        <v>2.0018418250186891</v>
      </c>
      <c r="G13" s="124">
        <f>IF(ISERROR(G52/G53),0,(G52/G53))</f>
        <v>1.2976108002750535</v>
      </c>
      <c r="H13" s="276">
        <f>IF(ISERROR(H52/H53),0,(H52/H53))</f>
        <v>2.0018418250186891</v>
      </c>
    </row>
    <row r="14" spans="1:11" ht="12.75" customHeight="1" x14ac:dyDescent="0.25">
      <c r="A14" s="126" t="s">
        <v>738</v>
      </c>
      <c r="B14" s="123" t="s">
        <v>436</v>
      </c>
      <c r="C14" s="174"/>
      <c r="D14" s="120">
        <f>IF(ISERROR(D54/D53),0,(D54/D53))</f>
        <v>0.27410833643319005</v>
      </c>
      <c r="E14" s="282">
        <f>IF(ISERROR(E54/E53),0,(E54/E53))</f>
        <v>0.26526391167695329</v>
      </c>
      <c r="F14" s="124">
        <f>IF(ISERROR(F54/F53),0,(F54/F53))</f>
        <v>0.21315022863159416</v>
      </c>
      <c r="G14" s="124">
        <f>IF(ISERROR(G54/G53),0,(G54/G53))</f>
        <v>0.17232142793347996</v>
      </c>
      <c r="H14" s="276">
        <f>IF(ISERROR(H54/H53),0,(H54/H53))</f>
        <v>0.21315022863159416</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0.37349462850669568</v>
      </c>
      <c r="E17" s="282">
        <f>IF(ISERROR(E59/E55),0,(E59/E55))</f>
        <v>0.43153265012765485</v>
      </c>
      <c r="F17" s="124">
        <f>IF(ISERROR(F59/F55),0,(F59/F55))</f>
        <v>0.36846844655614924</v>
      </c>
      <c r="G17" s="124">
        <f>IF(ISERROR(G59/G55),0,(G59/G55))</f>
        <v>0.34144028518026437</v>
      </c>
      <c r="H17" s="276">
        <f>IF(ISERROR(H59/H55),0,(H59/H55))</f>
        <v>0.36846844655614924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0.25102694983184909</v>
      </c>
      <c r="E26" s="282">
        <f>IF(ISERROR(E40/E55),0,(E40/E55))</f>
        <v>0.2498093445303802</v>
      </c>
      <c r="F26" s="124">
        <f>IF(ISERROR(F40/F55),0,(F40/F55))</f>
        <v>0.2432458135998426</v>
      </c>
      <c r="G26" s="124">
        <f>IF(ISERROR(G40/G55),0,(G40/G55))</f>
        <v>0.25674532286079849</v>
      </c>
      <c r="H26" s="276">
        <f>IF(ISERROR(H40/H55),0,(H40/H55))</f>
        <v>0.2432458135998426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8.607034558627355E-2</v>
      </c>
      <c r="E28" s="282">
        <f>IF(ISERROR((E42+E44)/E55),0,((E42+E44)/E55))</f>
        <v>8.8163465498190249E-2</v>
      </c>
      <c r="F28" s="124">
        <f>IF(ISERROR((F42+F44)/F55),0,((F42+F44)/F55))</f>
        <v>8.5600617304391807E-2</v>
      </c>
      <c r="G28" s="124">
        <f>IF(ISERROR((G42+G44)/G55),0,((G42+G44)/G55))</f>
        <v>6.4363554167710391E-3</v>
      </c>
      <c r="H28" s="276">
        <f>IF(ISERROR((H42+H44)/H55),0,((H42+H44)/H55))</f>
        <v>1.487124859712285E-2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285317995.64999998</v>
      </c>
      <c r="E38" s="84">
        <f>'C6-FinPos'!D38</f>
        <v>282085537</v>
      </c>
      <c r="F38" s="84">
        <f>'C6-FinPos'!E38</f>
        <v>282085537</v>
      </c>
      <c r="G38" s="97">
        <f>'C6-FinPos'!F38</f>
        <v>203744511.77000001</v>
      </c>
      <c r="H38" s="48">
        <v>0</v>
      </c>
    </row>
    <row r="39" spans="1:9" ht="12.75" customHeight="1" x14ac:dyDescent="0.25">
      <c r="A39" s="42" t="s">
        <v>528</v>
      </c>
      <c r="B39" s="67"/>
      <c r="C39" s="67"/>
      <c r="D39" s="84">
        <f>'C6-FinPos'!C26</f>
        <v>10649230298.57</v>
      </c>
      <c r="E39" s="84">
        <f>'C6-FinPos'!D26</f>
        <v>11312770417.220949</v>
      </c>
      <c r="F39" s="84">
        <f>'C6-FinPos'!E26</f>
        <v>11205428173.43997</v>
      </c>
      <c r="G39" s="97">
        <f>'C6-FinPos'!F26</f>
        <v>10062732354.190002</v>
      </c>
      <c r="H39" s="48">
        <f>'C6-FinPos'!G26</f>
        <v>11205428173.43997</v>
      </c>
    </row>
    <row r="40" spans="1:9" ht="12.75" customHeight="1" x14ac:dyDescent="0.25">
      <c r="A40" s="42" t="str">
        <f>'C4-FinPerf RE'!A25</f>
        <v>Employee related costs</v>
      </c>
      <c r="B40" s="67"/>
      <c r="C40" s="67"/>
      <c r="D40" s="84">
        <f>'C4-FinPerf RE'!C25</f>
        <v>1345486985</v>
      </c>
      <c r="E40" s="84">
        <f>'C4-FinPerf RE'!D25</f>
        <v>1478324301.5741799</v>
      </c>
      <c r="F40" s="84">
        <f>'C4-FinPerf RE'!E25</f>
        <v>1474657970.2495086</v>
      </c>
      <c r="G40" s="97">
        <f>'C4-FinPerf RE'!G25</f>
        <v>1430291148.0699992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43716970</v>
      </c>
      <c r="E42" s="84">
        <f>'C4-FinPerf RE'!D29</f>
        <v>31793212.220000003</v>
      </c>
      <c r="F42" s="84">
        <f>'C4-FinPerf RE'!E29</f>
        <v>36505334.219999969</v>
      </c>
      <c r="G42" s="97">
        <f>'C4-FinPerf RE'!G29</f>
        <v>35856007.330000006</v>
      </c>
      <c r="H42" s="48">
        <f>'C4-FinPerf RE'!K29</f>
        <v>36505334.219999969</v>
      </c>
    </row>
    <row r="43" spans="1:9" ht="12.75" customHeight="1" x14ac:dyDescent="0.25">
      <c r="A43" s="42" t="s">
        <v>84</v>
      </c>
      <c r="B43" s="67"/>
      <c r="C43" s="67"/>
      <c r="D43" s="84">
        <f>-'C7-CFlow'!C36</f>
        <v>83600511</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417614093.69000024</v>
      </c>
      <c r="E44" s="84">
        <f>'C4-FinPerf RE'!D28</f>
        <v>489941448.27473986</v>
      </c>
      <c r="F44" s="84">
        <f>'C4-FinPerf RE'!E28</f>
        <v>482441449.27473998</v>
      </c>
      <c r="G44" s="97"/>
      <c r="H44" s="48">
        <f>'C4-FinPerf RE'!K26</f>
        <v>53650401.439999998</v>
      </c>
    </row>
    <row r="45" spans="1:9" ht="12.75" customHeight="1" x14ac:dyDescent="0.25">
      <c r="A45" s="42" t="s">
        <v>0</v>
      </c>
      <c r="B45" s="67"/>
      <c r="C45" s="67"/>
      <c r="D45" s="84">
        <f>'C4-FinPerf RE'!C36</f>
        <v>5566648837.5499973</v>
      </c>
      <c r="E45" s="84">
        <f>'C4-FinPerf RE'!D36</f>
        <v>5516477469.5446281</v>
      </c>
      <c r="F45" s="84">
        <f>'C4-FinPerf RE'!E36</f>
        <v>5673151027.4213114</v>
      </c>
      <c r="G45" s="97">
        <f>'C4-FinPerf RE'!G36</f>
        <v>5772043430.7099981</v>
      </c>
      <c r="H45" s="48">
        <f>'C4-FinPerf RE'!K36</f>
        <v>5673151027.4213114</v>
      </c>
    </row>
    <row r="46" spans="1:9" ht="12.75" customHeight="1" x14ac:dyDescent="0.25">
      <c r="A46" s="42" t="str">
        <f>'C5-Capex'!A40</f>
        <v>Total Capital Expenditure</v>
      </c>
      <c r="B46" s="67"/>
      <c r="C46" s="67"/>
      <c r="D46" s="84">
        <f>'C5-Capex'!C40</f>
        <v>479855222.16999996</v>
      </c>
      <c r="E46" s="84">
        <f>'C5-Capex'!D40</f>
        <v>580891581</v>
      </c>
      <c r="F46" s="84">
        <f>'C5-Capex'!E40</f>
        <v>747190359.77999997</v>
      </c>
      <c r="G46" s="97">
        <f>'C5-Capex'!G40</f>
        <v>686254874.5200001</v>
      </c>
      <c r="H46" s="48">
        <f>'C5-Capex'!K40</f>
        <v>747190359.77999997</v>
      </c>
    </row>
    <row r="47" spans="1:9" ht="12.75" customHeight="1" x14ac:dyDescent="0.25">
      <c r="A47" s="42" t="s">
        <v>533</v>
      </c>
      <c r="B47" s="67"/>
      <c r="C47" s="67"/>
      <c r="D47" s="84">
        <f>'C5-Capex'!C72</f>
        <v>4229818.17</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2022942859.5700002</v>
      </c>
      <c r="E48" s="84">
        <f>'C6-FinPos'!D30+'C6-FinPos'!D31+'C6-FinPos'!D33+'C6-FinPos'!D38</f>
        <v>1469061645.9769487</v>
      </c>
      <c r="F48" s="84">
        <f>'C6-FinPos'!E30+'C6-FinPos'!E31+'C6-FinPos'!E33+'C6-FinPos'!E38</f>
        <v>1373190758.9767978</v>
      </c>
      <c r="G48" s="84">
        <f>'C6-FinPos'!F30+'C6-FinPos'!F31+'C6-FinPos'!F33+'C6-FinPos'!F38</f>
        <v>2038720100.46</v>
      </c>
      <c r="H48" s="48">
        <f>'C6-FinPos'!G30+'C6-FinPos'!G31+'C6-FinPos'!G33+'C6-FinPos'!G38</f>
        <v>1373190758.9767978</v>
      </c>
    </row>
    <row r="49" spans="1:8" ht="12.75" customHeight="1" x14ac:dyDescent="0.25">
      <c r="A49" s="42" t="s">
        <v>532</v>
      </c>
      <c r="B49" s="67"/>
      <c r="C49" s="67"/>
      <c r="D49" s="84">
        <f>'C6-FinPos'!C48</f>
        <v>7939404541</v>
      </c>
      <c r="E49" s="84">
        <f>'C6-FinPos'!D48</f>
        <v>8779187113.8762474</v>
      </c>
      <c r="F49" s="84">
        <f>'C6-FinPos'!E48</f>
        <v>8767715757.0954189</v>
      </c>
      <c r="G49" s="97">
        <f>'C6-FinPos'!F48</f>
        <v>7275344195.9300003</v>
      </c>
      <c r="H49" s="48">
        <f>'C6-FinPos'!G48</f>
        <v>8767715757.0954189</v>
      </c>
    </row>
    <row r="50" spans="1:8" ht="12.75" customHeight="1" x14ac:dyDescent="0.25">
      <c r="A50" s="42" t="str">
        <f>'C6-FinPos'!A47</f>
        <v>Reserves</v>
      </c>
      <c r="B50" s="67"/>
      <c r="C50" s="67"/>
      <c r="D50" s="84">
        <f>'C6-FinPos'!C47</f>
        <v>190847169</v>
      </c>
      <c r="E50" s="84">
        <f>'C6-FinPos'!D47</f>
        <v>228913258</v>
      </c>
      <c r="F50" s="84">
        <f>'C6-FinPos'!E47</f>
        <v>228913258.09585571</v>
      </c>
      <c r="G50" s="97">
        <f>'C6-FinPos'!F47</f>
        <v>194066678.38999999</v>
      </c>
      <c r="H50" s="48">
        <f>'C6-FinPos'!G47</f>
        <v>228913258.09585571</v>
      </c>
    </row>
    <row r="51" spans="1:8" ht="12.75" customHeight="1" x14ac:dyDescent="0.25">
      <c r="A51" s="42" t="str">
        <f>'C6-FinPos'!A38</f>
        <v>Borrowing</v>
      </c>
      <c r="B51" s="67"/>
      <c r="C51" s="67"/>
      <c r="D51" s="84">
        <f>'C6-FinPos'!C38</f>
        <v>285317995.64999998</v>
      </c>
      <c r="E51" s="84">
        <f>'C6-FinPos'!D38</f>
        <v>282085537</v>
      </c>
      <c r="F51" s="84">
        <f>'C6-FinPos'!E38</f>
        <v>282085537</v>
      </c>
      <c r="G51" s="97">
        <f>'C6-FinPos'!F38</f>
        <v>203744511.77000001</v>
      </c>
      <c r="H51" s="48">
        <f>'C6-FinPos'!G38</f>
        <v>282085537</v>
      </c>
    </row>
    <row r="52" spans="1:8" ht="12.75" customHeight="1" x14ac:dyDescent="0.25">
      <c r="A52" s="42" t="str">
        <f>'C6-FinPos'!A6</f>
        <v>Current assets</v>
      </c>
      <c r="B52" s="67"/>
      <c r="C52" s="67"/>
      <c r="D52" s="84">
        <f>'C6-FinPos'!C13</f>
        <v>2861868720.5699997</v>
      </c>
      <c r="E52" s="84">
        <f>'C6-FinPos'!D13</f>
        <v>2972344764.6444831</v>
      </c>
      <c r="F52" s="84">
        <f>'C6-FinPos'!E13</f>
        <v>2694173744.3592668</v>
      </c>
      <c r="G52" s="97">
        <f>'C6-FinPos'!F13</f>
        <v>2601278597.8199987</v>
      </c>
      <c r="H52" s="48">
        <f>'C6-FinPos'!G13</f>
        <v>2694173744.3592668</v>
      </c>
    </row>
    <row r="53" spans="1:8" ht="12.75" customHeight="1" x14ac:dyDescent="0.25">
      <c r="A53" s="42" t="str">
        <f>'C6-FinPos'!A29</f>
        <v>Current liabilities</v>
      </c>
      <c r="B53" s="67"/>
      <c r="C53" s="67"/>
      <c r="D53" s="84">
        <f>'C6-FinPos'!C35</f>
        <v>1893327921.9200001</v>
      </c>
      <c r="E53" s="84">
        <f>'C6-FinPos'!D35</f>
        <v>1441718351.4141357</v>
      </c>
      <c r="F53" s="84">
        <f>'C6-FinPos'!E35</f>
        <v>1345847464.413985</v>
      </c>
      <c r="G53" s="97">
        <f>'C6-FinPos'!F35</f>
        <v>2004667807.3800001</v>
      </c>
      <c r="H53" s="48">
        <f>'C6-FinPos'!G35</f>
        <v>1345847464.413985</v>
      </c>
    </row>
    <row r="54" spans="1:8" ht="12.75" customHeight="1" x14ac:dyDescent="0.25">
      <c r="A54" s="42" t="s">
        <v>534</v>
      </c>
      <c r="B54" s="67"/>
      <c r="C54" s="67"/>
      <c r="D54" s="84">
        <f>'C6-FinPos'!C7+'C6-FinPos'!C8</f>
        <v>518976967</v>
      </c>
      <c r="E54" s="84">
        <f>'C6-FinPos'!D7+'C6-FinPos'!D8</f>
        <v>382435849.43256199</v>
      </c>
      <c r="F54" s="84">
        <f>'C6-FinPos'!E7+'C6-FinPos'!E8</f>
        <v>286867694.74309218</v>
      </c>
      <c r="G54" s="97">
        <f>'C6-FinPos'!F7+'C6-FinPos'!F8</f>
        <v>345447219.09999996</v>
      </c>
      <c r="H54" s="48">
        <f>'C6-FinPos'!G7+'C6-FinPos'!G8</f>
        <v>286867694.74309218</v>
      </c>
    </row>
    <row r="55" spans="1:8" ht="12.75" customHeight="1" x14ac:dyDescent="0.25">
      <c r="A55" s="42" t="str">
        <f>'C4-FinPerf RE'!A22</f>
        <v>Total Revenue (excluding capital transfers and contributions)</v>
      </c>
      <c r="B55" s="67"/>
      <c r="C55" s="67"/>
      <c r="D55" s="84">
        <f>'C4-FinPerf RE'!C22</f>
        <v>5359930421.4200001</v>
      </c>
      <c r="E55" s="84">
        <f>'C4-FinPerf RE'!D22</f>
        <v>5917810257.8720617</v>
      </c>
      <c r="F55" s="84">
        <f>'C4-FinPerf RE'!E22</f>
        <v>6062418704.8720617</v>
      </c>
      <c r="G55" s="97">
        <f>'C4-FinPerf RE'!G22</f>
        <v>5570855710.7600002</v>
      </c>
      <c r="H55" s="48">
        <f>'C4-FinPerf RE'!K22</f>
        <v>6062418704.8720617</v>
      </c>
    </row>
    <row r="56" spans="1:8" ht="12.75" customHeight="1" x14ac:dyDescent="0.25">
      <c r="A56" s="42" t="str">
        <f>'C4-FinPerf RE'!A19</f>
        <v>Transfers and subsidies</v>
      </c>
      <c r="B56" s="67"/>
      <c r="C56" s="67"/>
      <c r="D56" s="84">
        <f>'C4-FinPerf RE'!C19</f>
        <v>637128044</v>
      </c>
      <c r="E56" s="84">
        <f>'C4-FinPerf RE'!D19</f>
        <v>675483240</v>
      </c>
      <c r="F56" s="84">
        <f>'C4-FinPerf RE'!E19</f>
        <v>819982787</v>
      </c>
      <c r="G56" s="97">
        <f>'C4-FinPerf RE'!G19</f>
        <v>751385897.5</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430113748.5</v>
      </c>
      <c r="E57" s="84">
        <f>'C4-FinPerf RE'!D39</f>
        <v>525891580.99999982</v>
      </c>
      <c r="F57" s="84">
        <f>'C4-FinPerf RE'!E39</f>
        <v>526485334.99999982</v>
      </c>
      <c r="G57" s="97">
        <f>'C4-FinPerf RE'!G39</f>
        <v>589628625.70000005</v>
      </c>
      <c r="H57" s="48">
        <f>'C4-FinPerf RE'!K39</f>
        <v>526485334.99999982</v>
      </c>
    </row>
    <row r="58" spans="1:8" ht="12.75" customHeight="1" x14ac:dyDescent="0.25">
      <c r="A58" s="42" t="s">
        <v>446</v>
      </c>
      <c r="B58" s="67"/>
      <c r="C58" s="67"/>
      <c r="D58" s="84">
        <f>'C7-CFlow'!C12+'C7-CFlow'!C36</f>
        <v>-38007179</v>
      </c>
      <c r="E58" s="84">
        <f>'C7-CFlow'!D12+'C7-CFlow'!D36</f>
        <v>105854483.86592242</v>
      </c>
      <c r="F58" s="84">
        <f>'C7-CFlow'!E12+'C7-CFlow'!E36</f>
        <v>105963383.865922</v>
      </c>
      <c r="G58" s="97">
        <f>'C7-CFlow'!G16+'C7-CFlow'!G36</f>
        <v>-32444716.800000001</v>
      </c>
      <c r="H58" s="48">
        <f>'C7-CFlow'!K16+'C7-CFlow'!K36</f>
        <v>-115711334.21999997</v>
      </c>
    </row>
    <row r="59" spans="1:8" ht="12.75" customHeight="1" x14ac:dyDescent="0.25">
      <c r="A59" s="42" t="s">
        <v>527</v>
      </c>
      <c r="B59" s="67"/>
      <c r="C59" s="67"/>
      <c r="D59" s="84">
        <f>'C6-FinPos'!C9+'C6-FinPos'!C10+'C6-FinPos'!C11+'C6-FinPos'!C16</f>
        <v>2001905221.5699997</v>
      </c>
      <c r="E59" s="84">
        <f>'C6-FinPos'!D9+'C6-FinPos'!D10+'C6-FinPos'!D11+'C6-FinPos'!D16</f>
        <v>2553728343.5321512</v>
      </c>
      <c r="F59" s="84">
        <f>'C6-FinPos'!E9+'C6-FinPos'!E10+'C6-FinPos'!E11+'C6-FinPos'!E16</f>
        <v>2233810002.5571508</v>
      </c>
      <c r="G59" s="97">
        <f>'C6-FinPos'!F9+'C6-FinPos'!F10+'C6-FinPos'!F11+'C6-FinPos'!F16</f>
        <v>1902114562.579999</v>
      </c>
      <c r="H59" s="48">
        <f>'C6-FinPos'!G9+'C6-FinPos'!G10+'C6-FinPos'!G11+'C6-FinPos'!G16</f>
        <v>2233810002.5571508</v>
      </c>
    </row>
    <row r="60" spans="1:8" ht="12.75" customHeight="1" x14ac:dyDescent="0.25">
      <c r="A60" s="42" t="s">
        <v>447</v>
      </c>
      <c r="B60" s="67"/>
      <c r="C60" s="67"/>
      <c r="D60" s="84">
        <f>SUM('C4-FinPerf RE'!C7:C11)</f>
        <v>3104621257.9200001</v>
      </c>
      <c r="E60" s="84">
        <f>SUM('C4-FinPerf RE'!D7:D11)</f>
        <v>3575763602.2929115</v>
      </c>
      <c r="F60" s="84">
        <f>SUM('C4-FinPerf RE'!E7:E11)</f>
        <v>3575763602.2929115</v>
      </c>
      <c r="G60" s="97">
        <f>SUM('C4-FinPerf RE'!G7:G11)</f>
        <v>3324133344.4099998</v>
      </c>
      <c r="H60" s="48"/>
    </row>
    <row r="61" spans="1:8" ht="12.75" customHeight="1" x14ac:dyDescent="0.25">
      <c r="A61" s="42" t="s">
        <v>448</v>
      </c>
      <c r="B61" s="67" t="s">
        <v>449</v>
      </c>
      <c r="C61" s="67"/>
      <c r="D61" s="84">
        <f>'C6-FinPos'!C7+'C6-FinPos'!C8+'C6-FinPos'!C17-'C6-FinPos'!C30</f>
        <v>518976967</v>
      </c>
      <c r="E61" s="84">
        <f>'C6-FinPos'!D7+'C6-FinPos'!D8+'C6-FinPos'!D17-'C6-FinPos'!D30</f>
        <v>385405520.86176199</v>
      </c>
      <c r="F61" s="84">
        <f>'C6-FinPos'!E7+'C6-FinPos'!E8+'C6-FinPos'!E17-'C6-FinPos'!E30</f>
        <v>286867366.17229217</v>
      </c>
      <c r="G61" s="97">
        <f>'C6-FinPos'!F7+'C6-FinPos'!F8+'C6-FinPos'!F17-'C6-FinPos'!F30</f>
        <v>345447219.09999996</v>
      </c>
      <c r="H61" s="48">
        <f>'C6-FinPos'!G7+'C6-FinPos'!G8+'C6-FinPos'!G17-'C6-FinPos'!G30</f>
        <v>286867366.17229217</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0</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sqref="A1:N2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6" t="str">
        <f>muni&amp; " - "&amp;S71I&amp; " - "&amp;Head57</f>
        <v>KZN225 Msunduzi - Supporting Table SC3 Monthly Budget Statement - aged debtors - Q4 Fourth Quarter</v>
      </c>
      <c r="B1" s="1056"/>
      <c r="C1" s="1063"/>
      <c r="D1" s="1063"/>
      <c r="E1" s="1063"/>
      <c r="F1" s="1063"/>
      <c r="G1" s="1063"/>
      <c r="H1" s="1063"/>
      <c r="I1" s="1063"/>
      <c r="J1" s="1063"/>
      <c r="K1" s="1063"/>
      <c r="L1" s="1063"/>
      <c r="M1" s="1063"/>
      <c r="N1" s="162"/>
      <c r="O1" s="406"/>
    </row>
    <row r="2" spans="1:16" ht="13.35" customHeight="1" x14ac:dyDescent="0.25">
      <c r="A2" s="355" t="str">
        <f>desc</f>
        <v>Description</v>
      </c>
      <c r="B2" s="894"/>
      <c r="C2" s="1064" t="str">
        <f>Head2</f>
        <v>Budget Year 2020/21</v>
      </c>
      <c r="D2" s="1065"/>
      <c r="E2" s="1065"/>
      <c r="F2" s="1065"/>
      <c r="G2" s="1065"/>
      <c r="H2" s="1065"/>
      <c r="I2" s="1065"/>
      <c r="J2" s="1065"/>
      <c r="K2" s="1065"/>
      <c r="L2" s="1065"/>
      <c r="M2" s="1065"/>
      <c r="N2" s="1066"/>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124357054.72</v>
      </c>
      <c r="D5" s="733">
        <v>40551544.619999997</v>
      </c>
      <c r="E5" s="733">
        <v>36439461.100000001</v>
      </c>
      <c r="F5" s="733">
        <v>32725318.32</v>
      </c>
      <c r="G5" s="733">
        <v>36396809.039999999</v>
      </c>
      <c r="H5" s="733">
        <v>32938493.059999999</v>
      </c>
      <c r="I5" s="733">
        <v>188664871.97999999</v>
      </c>
      <c r="J5" s="744">
        <v>1316099030.3299999</v>
      </c>
      <c r="K5" s="134">
        <f>SUM(C5:J5)</f>
        <v>1808172583.1700001</v>
      </c>
      <c r="L5" s="134">
        <f>SUM(F5:J5)</f>
        <v>1606824522.73</v>
      </c>
      <c r="M5" s="747"/>
      <c r="N5" s="747">
        <v>998915113.30999994</v>
      </c>
      <c r="O5" s="912"/>
    </row>
    <row r="6" spans="1:16" ht="12.75" customHeight="1" x14ac:dyDescent="0.25">
      <c r="A6" s="39" t="s">
        <v>1079</v>
      </c>
      <c r="B6" s="169">
        <v>1300</v>
      </c>
      <c r="C6" s="745">
        <v>126248089.59999999</v>
      </c>
      <c r="D6" s="733">
        <v>39278820.43</v>
      </c>
      <c r="E6" s="733">
        <v>11890057.25</v>
      </c>
      <c r="F6" s="733">
        <v>10527107.07</v>
      </c>
      <c r="G6" s="733">
        <v>11343571.939999999</v>
      </c>
      <c r="H6" s="733">
        <v>10602546.550000001</v>
      </c>
      <c r="I6" s="733">
        <v>53112550.450000003</v>
      </c>
      <c r="J6" s="744">
        <v>142237560.38</v>
      </c>
      <c r="K6" s="134">
        <f>SUM(C6:J6)</f>
        <v>405240303.67000002</v>
      </c>
      <c r="L6" s="134">
        <f t="shared" ref="L6:L12" si="0">SUM(F6:J6)</f>
        <v>227823336.38999999</v>
      </c>
      <c r="M6" s="747"/>
      <c r="N6" s="747">
        <v>90036034.530000001</v>
      </c>
      <c r="O6" s="912"/>
    </row>
    <row r="7" spans="1:16" ht="12.75" customHeight="1" x14ac:dyDescent="0.25">
      <c r="A7" s="39" t="s">
        <v>1078</v>
      </c>
      <c r="B7" s="169">
        <v>1400</v>
      </c>
      <c r="C7" s="745">
        <v>159275161.49000001</v>
      </c>
      <c r="D7" s="733">
        <v>30524782.600000001</v>
      </c>
      <c r="E7" s="733">
        <v>27921200.960000001</v>
      </c>
      <c r="F7" s="733">
        <v>24490690.859999999</v>
      </c>
      <c r="G7" s="733">
        <v>23784707.850000001</v>
      </c>
      <c r="H7" s="733">
        <v>21813065.120000001</v>
      </c>
      <c r="I7" s="733">
        <v>138014205.28</v>
      </c>
      <c r="J7" s="744">
        <v>598144164.52999997</v>
      </c>
      <c r="K7" s="134">
        <f t="shared" ref="K7:K13" si="1">SUM(C7:J7)</f>
        <v>1023967978.6899999</v>
      </c>
      <c r="L7" s="134">
        <f t="shared" si="0"/>
        <v>806246833.63999999</v>
      </c>
      <c r="M7" s="747"/>
      <c r="N7" s="747">
        <v>412070749.01999998</v>
      </c>
      <c r="O7" s="912"/>
    </row>
    <row r="8" spans="1:16" ht="12.75" customHeight="1" x14ac:dyDescent="0.25">
      <c r="A8" s="39" t="s">
        <v>1080</v>
      </c>
      <c r="B8" s="169">
        <v>1500</v>
      </c>
      <c r="C8" s="745">
        <v>25522040.850000001</v>
      </c>
      <c r="D8" s="733">
        <v>6208373.1500000004</v>
      </c>
      <c r="E8" s="733">
        <v>6004199.46</v>
      </c>
      <c r="F8" s="733">
        <v>4977960.2</v>
      </c>
      <c r="G8" s="733">
        <v>5185758.82</v>
      </c>
      <c r="H8" s="733">
        <v>4872347</v>
      </c>
      <c r="I8" s="733">
        <v>26781078.850000001</v>
      </c>
      <c r="J8" s="744">
        <v>221607590.08000001</v>
      </c>
      <c r="K8" s="134">
        <f t="shared" si="1"/>
        <v>301159348.41000003</v>
      </c>
      <c r="L8" s="134">
        <f t="shared" si="0"/>
        <v>263424734.95000002</v>
      </c>
      <c r="M8" s="747"/>
      <c r="N8" s="747">
        <v>189203075.00999999</v>
      </c>
      <c r="O8" s="912"/>
    </row>
    <row r="9" spans="1:16" ht="12.75" customHeight="1" x14ac:dyDescent="0.25">
      <c r="A9" s="39" t="s">
        <v>1081</v>
      </c>
      <c r="B9" s="169">
        <v>1600</v>
      </c>
      <c r="C9" s="745">
        <v>13617735.699999999</v>
      </c>
      <c r="D9" s="733">
        <v>3599860.86</v>
      </c>
      <c r="E9" s="733">
        <v>3110072.05</v>
      </c>
      <c r="F9" s="733">
        <v>2824506.67</v>
      </c>
      <c r="G9" s="733">
        <v>2657550.2799999998</v>
      </c>
      <c r="H9" s="733">
        <v>2541429.14</v>
      </c>
      <c r="I9" s="733">
        <v>13229657.58</v>
      </c>
      <c r="J9" s="744">
        <v>125954664.64</v>
      </c>
      <c r="K9" s="134">
        <f t="shared" si="1"/>
        <v>167535476.92000002</v>
      </c>
      <c r="L9" s="134">
        <f>SUM(F9:J9)</f>
        <v>147207808.31</v>
      </c>
      <c r="M9" s="747"/>
      <c r="N9" s="747">
        <v>105730359.75</v>
      </c>
      <c r="O9" s="912"/>
    </row>
    <row r="10" spans="1:16" ht="12.75" customHeight="1" x14ac:dyDescent="0.25">
      <c r="A10" s="39" t="s">
        <v>1082</v>
      </c>
      <c r="B10" s="169">
        <v>1700</v>
      </c>
      <c r="C10" s="745">
        <v>3033935.5</v>
      </c>
      <c r="D10" s="733">
        <v>499408.08</v>
      </c>
      <c r="E10" s="733">
        <v>994730.35</v>
      </c>
      <c r="F10" s="733">
        <v>866242.54</v>
      </c>
      <c r="G10" s="733">
        <v>597509.28</v>
      </c>
      <c r="H10" s="733">
        <v>682073.65</v>
      </c>
      <c r="I10" s="733">
        <v>3552469.85</v>
      </c>
      <c r="J10" s="744">
        <v>41424973.119999997</v>
      </c>
      <c r="K10" s="134">
        <f t="shared" si="1"/>
        <v>51651342.369999997</v>
      </c>
      <c r="L10" s="134">
        <f>SUM(F10:J10)</f>
        <v>47123268.439999998</v>
      </c>
      <c r="M10" s="747"/>
      <c r="N10" s="747">
        <v>32944687.719999999</v>
      </c>
      <c r="O10" s="912"/>
    </row>
    <row r="11" spans="1:16" ht="12.75" customHeight="1" x14ac:dyDescent="0.25">
      <c r="A11" s="39" t="s">
        <v>1083</v>
      </c>
      <c r="B11" s="169">
        <v>1810</v>
      </c>
      <c r="C11" s="745">
        <v>34566747.939999998</v>
      </c>
      <c r="D11" s="733">
        <v>18165132.84</v>
      </c>
      <c r="E11" s="733">
        <v>16204617.02</v>
      </c>
      <c r="F11" s="733">
        <v>16970986.699999999</v>
      </c>
      <c r="G11" s="733">
        <v>16806494.390000001</v>
      </c>
      <c r="H11" s="733">
        <v>15862484.220000001</v>
      </c>
      <c r="I11" s="733">
        <v>111939223.44</v>
      </c>
      <c r="J11" s="744">
        <v>568726319.51999998</v>
      </c>
      <c r="K11" s="134">
        <f t="shared" si="1"/>
        <v>799242006.06999993</v>
      </c>
      <c r="L11" s="134">
        <f t="shared" si="0"/>
        <v>730305508.26999998</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9325856.3399999999</v>
      </c>
      <c r="D13" s="733">
        <v>16738.400000000001</v>
      </c>
      <c r="E13" s="733">
        <v>166130.87</v>
      </c>
      <c r="F13" s="733">
        <v>74987.100000000006</v>
      </c>
      <c r="G13" s="733">
        <v>6726.92</v>
      </c>
      <c r="H13" s="733">
        <v>10121.57</v>
      </c>
      <c r="I13" s="733">
        <v>1526821.47</v>
      </c>
      <c r="J13" s="744">
        <v>209031082.52000001</v>
      </c>
      <c r="K13" s="134">
        <f t="shared" si="1"/>
        <v>220158465.19</v>
      </c>
      <c r="L13" s="134">
        <f>SUM(F13:J13)</f>
        <v>210649739.58000001</v>
      </c>
      <c r="M13" s="747"/>
      <c r="N13" s="747">
        <v>314944996.63</v>
      </c>
      <c r="O13" s="912"/>
    </row>
    <row r="14" spans="1:16" ht="12.75" customHeight="1" x14ac:dyDescent="0.25">
      <c r="A14" s="53" t="s">
        <v>1085</v>
      </c>
      <c r="B14" s="284">
        <v>2000</v>
      </c>
      <c r="C14" s="56">
        <f t="shared" ref="C14:N14" si="2">SUM(C5:C13)</f>
        <v>495946622.13999999</v>
      </c>
      <c r="D14" s="55">
        <f t="shared" si="2"/>
        <v>138844660.98000002</v>
      </c>
      <c r="E14" s="55">
        <f t="shared" si="2"/>
        <v>102730469.05999999</v>
      </c>
      <c r="F14" s="55">
        <f t="shared" si="2"/>
        <v>93457799.460000008</v>
      </c>
      <c r="G14" s="55">
        <f t="shared" si="2"/>
        <v>96779128.520000011</v>
      </c>
      <c r="H14" s="55">
        <f t="shared" si="2"/>
        <v>89322560.310000002</v>
      </c>
      <c r="I14" s="55">
        <f t="shared" si="2"/>
        <v>536820878.9000001</v>
      </c>
      <c r="J14" s="83">
        <f t="shared" si="2"/>
        <v>3223225385.1199999</v>
      </c>
      <c r="K14" s="112">
        <f t="shared" si="2"/>
        <v>4777127504.4899998</v>
      </c>
      <c r="L14" s="112">
        <f>SUM(L5:L13)</f>
        <v>4039605752.3099995</v>
      </c>
      <c r="M14" s="54">
        <f t="shared" si="2"/>
        <v>0</v>
      </c>
      <c r="N14" s="54">
        <f t="shared" si="2"/>
        <v>2406181321.46</v>
      </c>
      <c r="O14" s="913"/>
    </row>
    <row r="15" spans="1:16" ht="12.75" customHeight="1" x14ac:dyDescent="0.25">
      <c r="A15" s="313" t="str">
        <f>Head1&amp;" - totals only"</f>
        <v>2019/20 - totals only</v>
      </c>
      <c r="B15" s="367"/>
      <c r="C15" s="745">
        <v>704600774.9000001</v>
      </c>
      <c r="D15" s="745">
        <v>-4325301.0500000007</v>
      </c>
      <c r="E15" s="745">
        <v>117682805.63</v>
      </c>
      <c r="F15" s="745">
        <v>101021025.72999999</v>
      </c>
      <c r="G15" s="745">
        <v>97617113.170000002</v>
      </c>
      <c r="H15" s="745">
        <v>89416119.01000002</v>
      </c>
      <c r="I15" s="745">
        <v>534223289.34000009</v>
      </c>
      <c r="J15" s="745">
        <v>2831952593.4300003</v>
      </c>
      <c r="K15" s="795">
        <f>SUM(C15:J15)</f>
        <v>4472188420.1600008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36988377.369999997</v>
      </c>
      <c r="D17" s="733">
        <v>8252037.8399999999</v>
      </c>
      <c r="E17" s="733">
        <v>8067833.8700000001</v>
      </c>
      <c r="F17" s="733">
        <v>6085832.0300000003</v>
      </c>
      <c r="G17" s="733">
        <v>5013710.01</v>
      </c>
      <c r="H17" s="733">
        <v>4929783.3</v>
      </c>
      <c r="I17" s="733">
        <v>31835957.149999999</v>
      </c>
      <c r="J17" s="744">
        <v>137330756.03999999</v>
      </c>
      <c r="K17" s="134">
        <f>SUM(C17:J17)</f>
        <v>238504287.60999998</v>
      </c>
      <c r="L17" s="645">
        <f>SUM(F17:J17)</f>
        <v>185196038.52999997</v>
      </c>
      <c r="M17" s="747"/>
      <c r="N17" s="748">
        <v>234146848.66999999</v>
      </c>
    </row>
    <row r="18" spans="1:14" ht="12.75" customHeight="1" x14ac:dyDescent="0.25">
      <c r="A18" s="39" t="s">
        <v>1087</v>
      </c>
      <c r="B18" s="169">
        <v>2300</v>
      </c>
      <c r="C18" s="745">
        <v>234343488.19</v>
      </c>
      <c r="D18" s="733">
        <v>42425297.57</v>
      </c>
      <c r="E18" s="733">
        <v>20172178.440000001</v>
      </c>
      <c r="F18" s="733">
        <v>16314976.27</v>
      </c>
      <c r="G18" s="733">
        <v>20580164.32</v>
      </c>
      <c r="H18" s="733">
        <v>16282865.84</v>
      </c>
      <c r="I18" s="733">
        <v>84893251.379999995</v>
      </c>
      <c r="J18" s="744">
        <v>318615471.98000002</v>
      </c>
      <c r="K18" s="134">
        <f>SUM(C18:J18)</f>
        <v>753627693.99000001</v>
      </c>
      <c r="L18" s="645">
        <f>SUM(F18:J18)</f>
        <v>456686729.79000002</v>
      </c>
      <c r="M18" s="747"/>
      <c r="N18" s="748">
        <v>81533684.739999995</v>
      </c>
    </row>
    <row r="19" spans="1:14" ht="12.75" customHeight="1" x14ac:dyDescent="0.25">
      <c r="A19" s="39" t="s">
        <v>685</v>
      </c>
      <c r="B19" s="169">
        <v>2400</v>
      </c>
      <c r="C19" s="745">
        <v>218949671.59999999</v>
      </c>
      <c r="D19" s="733">
        <v>82864480.829999998</v>
      </c>
      <c r="E19" s="733">
        <v>70514754.099999994</v>
      </c>
      <c r="F19" s="733">
        <v>67214789.689999998</v>
      </c>
      <c r="G19" s="733">
        <v>70484502.950000003</v>
      </c>
      <c r="H19" s="733">
        <v>64240574</v>
      </c>
      <c r="I19" s="733">
        <v>394215718.13</v>
      </c>
      <c r="J19" s="744">
        <v>2599757203.6900001</v>
      </c>
      <c r="K19" s="134">
        <f>SUM(C19:J19)</f>
        <v>3568241694.9899998</v>
      </c>
      <c r="L19" s="645">
        <f>SUM(F19:J19)</f>
        <v>3195912788.46</v>
      </c>
      <c r="M19" s="747"/>
      <c r="N19" s="748">
        <v>1939643496.0599999</v>
      </c>
    </row>
    <row r="20" spans="1:14" ht="12.75" customHeight="1" x14ac:dyDescent="0.25">
      <c r="A20" s="39" t="s">
        <v>718</v>
      </c>
      <c r="B20" s="169">
        <v>2500</v>
      </c>
      <c r="C20" s="745">
        <v>5665084.9800000004</v>
      </c>
      <c r="D20" s="733">
        <v>5302844.74</v>
      </c>
      <c r="E20" s="733">
        <v>3975702.65</v>
      </c>
      <c r="F20" s="733">
        <v>3842201.47</v>
      </c>
      <c r="G20" s="733">
        <v>700751.24</v>
      </c>
      <c r="H20" s="733">
        <v>3869337.17</v>
      </c>
      <c r="I20" s="733">
        <v>25875952.239999998</v>
      </c>
      <c r="J20" s="744">
        <v>167521953.41</v>
      </c>
      <c r="K20" s="134">
        <f>SUM(C20:J20)</f>
        <v>216753827.89999998</v>
      </c>
      <c r="L20" s="645">
        <f>SUM(F20:J20)</f>
        <v>201810195.53</v>
      </c>
      <c r="M20" s="747"/>
      <c r="N20" s="749">
        <v>150857291.99000001</v>
      </c>
    </row>
    <row r="21" spans="1:14" ht="12.75" customHeight="1" x14ac:dyDescent="0.25">
      <c r="A21" s="53" t="s">
        <v>1090</v>
      </c>
      <c r="B21" s="284">
        <v>2600</v>
      </c>
      <c r="C21" s="56">
        <f t="shared" ref="C21:I21" si="3">SUM(C17:C20)</f>
        <v>495946622.13999999</v>
      </c>
      <c r="D21" s="55">
        <f t="shared" si="3"/>
        <v>138844660.97999999</v>
      </c>
      <c r="E21" s="55">
        <f t="shared" si="3"/>
        <v>102730469.06</v>
      </c>
      <c r="F21" s="55">
        <f t="shared" si="3"/>
        <v>93457799.459999993</v>
      </c>
      <c r="G21" s="55">
        <f t="shared" si="3"/>
        <v>96779128.519999996</v>
      </c>
      <c r="H21" s="55">
        <f t="shared" si="3"/>
        <v>89322560.310000002</v>
      </c>
      <c r="I21" s="55">
        <f t="shared" si="3"/>
        <v>536820878.89999998</v>
      </c>
      <c r="J21" s="83">
        <f>SUM(J17:J20)</f>
        <v>3223225385.1199999</v>
      </c>
      <c r="K21" s="112">
        <f>SUM(K17:K20)</f>
        <v>4777127504.4899998</v>
      </c>
      <c r="L21" s="914">
        <f>SUM(L17:L20)</f>
        <v>4039605752.3099999</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R36" sqref="R36"/>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16</v>
      </c>
    </row>
    <row r="11" spans="4:25" x14ac:dyDescent="0.2">
      <c r="W11" s="646" t="s">
        <v>866</v>
      </c>
      <c r="X11" s="701" t="str">
        <f>VLOOKUP(X10,W39:X55,2)</f>
        <v>Q4 Fourth Quarter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6" t="str">
        <f>muni&amp; " - "&amp;S71J&amp; " - "&amp;Head57</f>
        <v>KZN225 Msunduzi - Supporting Table SC4 Monthly Budget Statement - aged creditors  - Q4 Fourth Quarter</v>
      </c>
      <c r="B1" s="1056"/>
      <c r="C1" s="1056"/>
      <c r="D1" s="1056"/>
      <c r="E1" s="1056"/>
      <c r="F1" s="1056"/>
      <c r="G1" s="1056"/>
      <c r="H1" s="1056"/>
      <c r="I1" s="1056"/>
      <c r="J1" s="1056"/>
      <c r="K1" s="1056"/>
    </row>
    <row r="2" spans="1:12" ht="12.75" customHeight="1" x14ac:dyDescent="0.25">
      <c r="A2" s="1045" t="str">
        <f>desc</f>
        <v>Description</v>
      </c>
      <c r="B2" s="1077" t="s">
        <v>734</v>
      </c>
      <c r="C2" s="137" t="str">
        <f>Head2</f>
        <v>Budget Year 2020/21</v>
      </c>
      <c r="D2" s="137"/>
      <c r="E2" s="137"/>
      <c r="F2" s="137"/>
      <c r="G2" s="137"/>
      <c r="H2" s="137"/>
      <c r="I2" s="137"/>
      <c r="J2" s="137"/>
      <c r="K2" s="138"/>
      <c r="L2" s="1067" t="s">
        <v>74</v>
      </c>
    </row>
    <row r="3" spans="1:12" ht="12.75" customHeight="1" x14ac:dyDescent="0.25">
      <c r="A3" s="1076"/>
      <c r="B3" s="1078"/>
      <c r="C3" s="1079" t="s">
        <v>726</v>
      </c>
      <c r="D3" s="1070" t="s">
        <v>727</v>
      </c>
      <c r="E3" s="1070" t="s">
        <v>728</v>
      </c>
      <c r="F3" s="1070" t="s">
        <v>729</v>
      </c>
      <c r="G3" s="1070" t="s">
        <v>730</v>
      </c>
      <c r="H3" s="1070" t="s">
        <v>731</v>
      </c>
      <c r="I3" s="1070" t="s">
        <v>732</v>
      </c>
      <c r="J3" s="1072" t="s">
        <v>733</v>
      </c>
      <c r="K3" s="1074" t="s">
        <v>506</v>
      </c>
      <c r="L3" s="1068"/>
    </row>
    <row r="4" spans="1:12" ht="12.75" customHeight="1" x14ac:dyDescent="0.25">
      <c r="A4" s="34" t="s">
        <v>667</v>
      </c>
      <c r="B4" s="1075"/>
      <c r="C4" s="1080"/>
      <c r="D4" s="1071"/>
      <c r="E4" s="1071"/>
      <c r="F4" s="1071"/>
      <c r="G4" s="1071"/>
      <c r="H4" s="1071"/>
      <c r="I4" s="1071"/>
      <c r="J4" s="1073"/>
      <c r="K4" s="1075"/>
      <c r="L4" s="1069"/>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297675451.20999998</v>
      </c>
      <c r="D6" s="733"/>
      <c r="E6" s="733">
        <v>2821.02</v>
      </c>
      <c r="F6" s="733">
        <v>22134.13</v>
      </c>
      <c r="G6" s="733">
        <v>0</v>
      </c>
      <c r="H6" s="733"/>
      <c r="I6" s="733"/>
      <c r="J6" s="735"/>
      <c r="K6" s="109">
        <f>SUM(C6:J6)</f>
        <v>297700406.35999995</v>
      </c>
      <c r="L6" s="748">
        <v>383516063</v>
      </c>
    </row>
    <row r="7" spans="1:12" ht="12.75" customHeight="1" x14ac:dyDescent="0.25">
      <c r="A7" s="39" t="s">
        <v>688</v>
      </c>
      <c r="B7" s="169" t="s">
        <v>689</v>
      </c>
      <c r="C7" s="753">
        <v>199604183.22999999</v>
      </c>
      <c r="D7" s="733">
        <v>93733986.530000001</v>
      </c>
      <c r="E7" s="733">
        <v>58550263.359999999</v>
      </c>
      <c r="F7" s="733"/>
      <c r="G7" s="733">
        <v>0</v>
      </c>
      <c r="H7" s="733"/>
      <c r="I7" s="733"/>
      <c r="J7" s="735"/>
      <c r="K7" s="109">
        <f t="shared" ref="K7:K13" si="0">SUM(C7:J7)</f>
        <v>351888433.12</v>
      </c>
      <c r="L7" s="748">
        <v>199793607.5</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212967458.86000004</v>
      </c>
      <c r="D9" s="733"/>
      <c r="E9" s="733"/>
      <c r="F9" s="733"/>
      <c r="G9" s="733"/>
      <c r="H9" s="733"/>
      <c r="I9" s="733"/>
      <c r="J9" s="735"/>
      <c r="K9" s="109">
        <f t="shared" si="0"/>
        <v>212967458.86000004</v>
      </c>
      <c r="L9" s="748">
        <v>177794476.59999999</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147205584.18000001</v>
      </c>
      <c r="D12" s="733">
        <v>25568306.620000001</v>
      </c>
      <c r="E12" s="733">
        <v>10210551.73</v>
      </c>
      <c r="F12" s="733"/>
      <c r="G12" s="733">
        <v>-29742.03</v>
      </c>
      <c r="H12" s="733"/>
      <c r="I12" s="733"/>
      <c r="J12" s="735"/>
      <c r="K12" s="109">
        <f t="shared" si="0"/>
        <v>182954700.5</v>
      </c>
      <c r="L12" s="748">
        <v>139124965.30000001</v>
      </c>
    </row>
    <row r="13" spans="1:12" ht="12.75" customHeight="1" x14ac:dyDescent="0.25">
      <c r="A13" s="39" t="s">
        <v>599</v>
      </c>
      <c r="B13" s="169" t="s">
        <v>600</v>
      </c>
      <c r="C13" s="753">
        <v>242154.47</v>
      </c>
      <c r="D13" s="733"/>
      <c r="E13" s="733"/>
      <c r="F13" s="733"/>
      <c r="G13" s="733"/>
      <c r="H13" s="733"/>
      <c r="I13" s="733"/>
      <c r="J13" s="735"/>
      <c r="K13" s="109">
        <f t="shared" si="0"/>
        <v>242154.47</v>
      </c>
      <c r="L13" s="748">
        <v>444019.49</v>
      </c>
    </row>
    <row r="14" spans="1:12" ht="12.75" customHeight="1" x14ac:dyDescent="0.25">
      <c r="A14" s="39" t="s">
        <v>718</v>
      </c>
      <c r="B14" s="169" t="s">
        <v>601</v>
      </c>
      <c r="C14" s="753">
        <v>610750761.25999987</v>
      </c>
      <c r="D14" s="733"/>
      <c r="E14" s="733"/>
      <c r="F14" s="733"/>
      <c r="G14" s="733"/>
      <c r="H14" s="733"/>
      <c r="I14" s="733"/>
      <c r="J14" s="735"/>
      <c r="K14" s="109">
        <f>SUM(C14:J14)</f>
        <v>610750761.25999987</v>
      </c>
      <c r="L14" s="748">
        <v>488555913.69999999</v>
      </c>
    </row>
    <row r="15" spans="1:12" ht="12.75" customHeight="1" x14ac:dyDescent="0.25">
      <c r="A15" s="53" t="s">
        <v>919</v>
      </c>
      <c r="B15" s="284">
        <v>1000</v>
      </c>
      <c r="C15" s="271">
        <f>SUM(C6:C14)</f>
        <v>1468445593.21</v>
      </c>
      <c r="D15" s="55">
        <f t="shared" ref="D15:J15" si="1">SUM(D6:D14)</f>
        <v>119302293.15000001</v>
      </c>
      <c r="E15" s="55">
        <f t="shared" si="1"/>
        <v>68763636.109999999</v>
      </c>
      <c r="F15" s="55">
        <f t="shared" si="1"/>
        <v>22134.13</v>
      </c>
      <c r="G15" s="55">
        <f t="shared" si="1"/>
        <v>-29742.03</v>
      </c>
      <c r="H15" s="55">
        <f t="shared" si="1"/>
        <v>0</v>
      </c>
      <c r="I15" s="55">
        <f t="shared" si="1"/>
        <v>0</v>
      </c>
      <c r="J15" s="235">
        <f t="shared" si="1"/>
        <v>0</v>
      </c>
      <c r="K15" s="112">
        <f>SUM(K6:K14)</f>
        <v>1656503914.5699999</v>
      </c>
      <c r="L15" s="160">
        <f>SUM(L6:L14)</f>
        <v>1389229045.5900002</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6" t="str">
        <f>muni&amp; " - "&amp;S71K&amp; " - "&amp;Head57</f>
        <v>KZN225 Msunduzi - Supporting Table SC5 Monthly Budget Statement - investment portfolio  - Q4 Fourth Quarter</v>
      </c>
      <c r="B1" s="1056"/>
      <c r="C1" s="1056"/>
      <c r="D1" s="1056"/>
      <c r="E1" s="1056"/>
      <c r="F1" s="1056"/>
      <c r="G1" s="1056"/>
      <c r="H1" s="1056"/>
      <c r="I1" s="1056"/>
      <c r="J1" s="1056"/>
      <c r="K1" s="67"/>
    </row>
    <row r="2" spans="1:15" ht="54" customHeight="1" x14ac:dyDescent="0.25">
      <c r="A2" s="270" t="s">
        <v>894</v>
      </c>
      <c r="B2" s="1077" t="s">
        <v>571</v>
      </c>
      <c r="C2" s="26" t="s">
        <v>126</v>
      </c>
      <c r="D2" s="1083" t="s">
        <v>607</v>
      </c>
      <c r="E2" s="948" t="s">
        <v>1356</v>
      </c>
      <c r="F2" s="948" t="s">
        <v>1357</v>
      </c>
      <c r="G2" s="948" t="s">
        <v>1358</v>
      </c>
      <c r="H2" s="948" t="s">
        <v>1359</v>
      </c>
      <c r="I2" s="948" t="s">
        <v>1360</v>
      </c>
      <c r="J2" s="1085" t="s">
        <v>608</v>
      </c>
      <c r="K2" s="149" t="s">
        <v>1361</v>
      </c>
      <c r="L2" s="142" t="s">
        <v>1362</v>
      </c>
      <c r="M2" s="26" t="s">
        <v>1363</v>
      </c>
      <c r="N2" s="26" t="s">
        <v>1364</v>
      </c>
      <c r="O2" s="142" t="s">
        <v>1365</v>
      </c>
    </row>
    <row r="3" spans="1:15" ht="12.75" customHeight="1" x14ac:dyDescent="0.25">
      <c r="A3" s="34" t="s">
        <v>667</v>
      </c>
      <c r="B3" s="1075"/>
      <c r="C3" s="413" t="s">
        <v>127</v>
      </c>
      <c r="D3" s="1084"/>
      <c r="E3" s="949"/>
      <c r="F3" s="949"/>
      <c r="G3" s="949"/>
      <c r="H3" s="949"/>
      <c r="I3" s="949"/>
      <c r="J3" s="1073"/>
      <c r="K3" s="1081"/>
      <c r="L3" s="1081"/>
      <c r="M3" s="1081"/>
      <c r="N3" s="1081"/>
      <c r="O3" s="1082"/>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353868018.52999997</v>
      </c>
      <c r="L5" s="954">
        <v>165239.40000000002</v>
      </c>
      <c r="M5" s="955">
        <v>-230117519.45999998</v>
      </c>
      <c r="N5" s="955">
        <v>195201498.36000001</v>
      </c>
      <c r="O5" s="956">
        <f t="shared" ref="O5:O11" si="0">SUM(K5:N5)</f>
        <v>319117236.82999998</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353868018.52999997</v>
      </c>
      <c r="L12" s="960"/>
      <c r="M12" s="961">
        <f>SUM(M5:M11)</f>
        <v>-230117519.45999998</v>
      </c>
      <c r="N12" s="961">
        <f>SUM(N5:N11)</f>
        <v>195201498.36000001</v>
      </c>
      <c r="O12" s="962">
        <f>SUM(O5:O11)</f>
        <v>319117236.82999998</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2697620.62</v>
      </c>
      <c r="L15" s="954">
        <v>4183</v>
      </c>
      <c r="M15" s="955">
        <v>-982999.55</v>
      </c>
      <c r="N15" s="955"/>
      <c r="O15" s="956">
        <f t="shared" ref="O15:O21" si="1">SUM(K15:N15)</f>
        <v>1718804.07</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2697620.62</v>
      </c>
      <c r="L22" s="960"/>
      <c r="M22" s="961">
        <f>SUM(M15:M21)</f>
        <v>-982999.55</v>
      </c>
      <c r="N22" s="961">
        <f>SUM(N15:N21)</f>
        <v>0</v>
      </c>
      <c r="O22" s="962">
        <f>SUM(O15:O21)</f>
        <v>1718804.07</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356565639.14999998</v>
      </c>
      <c r="L24" s="978"/>
      <c r="M24" s="979">
        <f>M12+M22</f>
        <v>-231100519.00999999</v>
      </c>
      <c r="N24" s="979">
        <f>N12+N22</f>
        <v>195201498.36000001</v>
      </c>
      <c r="O24" s="980">
        <f>O12+O22</f>
        <v>320836040.89999998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P39" sqref="P39"/>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"&amp;S71L&amp; " - "&amp;Head57</f>
        <v>KZN225 Msunduzi - Supporting Table SC6 Monthly Budget Statement - transfers and grant receipts  - Q4 Fourth Quarter</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588690909</v>
      </c>
      <c r="D8" s="51">
        <f t="shared" si="0"/>
        <v>608608575</v>
      </c>
      <c r="E8" s="50">
        <f t="shared" si="0"/>
        <v>697606575</v>
      </c>
      <c r="F8" s="50">
        <f t="shared" si="0"/>
        <v>0</v>
      </c>
      <c r="G8" s="50">
        <f t="shared" si="0"/>
        <v>698862779.19000006</v>
      </c>
      <c r="H8" s="50">
        <f t="shared" si="0"/>
        <v>697606575</v>
      </c>
      <c r="I8" s="50">
        <f t="shared" si="0"/>
        <v>1256204.1900000013</v>
      </c>
      <c r="J8" s="343">
        <f>IF(I8=0,"",I8/H8)</f>
        <v>1.8007344469194565E-3</v>
      </c>
      <c r="K8" s="194">
        <f>SUM(K9:K16)</f>
        <v>697606575</v>
      </c>
    </row>
    <row r="9" spans="1:11" ht="12.75" customHeight="1" x14ac:dyDescent="0.25">
      <c r="A9" s="733" t="s">
        <v>986</v>
      </c>
      <c r="B9" s="169"/>
      <c r="C9" s="779">
        <v>546052000</v>
      </c>
      <c r="D9" s="780">
        <v>593405000</v>
      </c>
      <c r="E9" s="734">
        <v>682403000</v>
      </c>
      <c r="F9" s="734"/>
      <c r="G9" s="734">
        <v>682403000</v>
      </c>
      <c r="H9" s="733">
        <f t="shared" ref="H9:H10" si="1">E9/12*12</f>
        <v>682403000</v>
      </c>
      <c r="I9" s="514">
        <f>G9-H9</f>
        <v>0</v>
      </c>
      <c r="J9" s="552" t="str">
        <f>IF(I9=0,"",I9/H9)</f>
        <v/>
      </c>
      <c r="K9" s="736">
        <f>E9</f>
        <v>682403000</v>
      </c>
    </row>
    <row r="10" spans="1:11" ht="12.75" customHeight="1" x14ac:dyDescent="0.25">
      <c r="A10" s="733" t="s">
        <v>988</v>
      </c>
      <c r="B10" s="169"/>
      <c r="C10" s="748">
        <v>1700000</v>
      </c>
      <c r="D10" s="745">
        <v>1700000</v>
      </c>
      <c r="E10" s="733">
        <v>1700000</v>
      </c>
      <c r="F10" s="733"/>
      <c r="G10" s="733">
        <v>1700000</v>
      </c>
      <c r="H10" s="733">
        <f t="shared" si="1"/>
        <v>1700000</v>
      </c>
      <c r="I10" s="514">
        <f t="shared" ref="I10:I15" si="2">G10-H10</f>
        <v>0</v>
      </c>
      <c r="J10" s="552" t="str">
        <f t="shared" ref="J10:J15" si="3">IF(I10=0,"",I10/H10)</f>
        <v/>
      </c>
      <c r="K10" s="735">
        <f>E10</f>
        <v>1700000</v>
      </c>
    </row>
    <row r="11" spans="1:11" ht="12.75" customHeight="1" x14ac:dyDescent="0.25">
      <c r="A11" s="733" t="s">
        <v>566</v>
      </c>
      <c r="B11" s="169"/>
      <c r="C11" s="748"/>
      <c r="D11" s="745"/>
      <c r="E11" s="733">
        <v>0</v>
      </c>
      <c r="F11" s="733"/>
      <c r="G11" s="733"/>
      <c r="H11" s="733"/>
      <c r="I11" s="514">
        <f t="shared" si="2"/>
        <v>0</v>
      </c>
      <c r="J11" s="552" t="str">
        <f t="shared" si="3"/>
        <v/>
      </c>
      <c r="K11" s="735"/>
    </row>
    <row r="12" spans="1:11" ht="12.75" customHeight="1" x14ac:dyDescent="0.25">
      <c r="A12" s="733" t="s">
        <v>995</v>
      </c>
      <c r="B12" s="169"/>
      <c r="C12" s="748">
        <v>4200000</v>
      </c>
      <c r="D12" s="745">
        <v>4388000</v>
      </c>
      <c r="E12" s="733">
        <v>4388000</v>
      </c>
      <c r="F12" s="733"/>
      <c r="G12" s="733">
        <v>4388000</v>
      </c>
      <c r="H12" s="733">
        <f>E12/12*12</f>
        <v>4388000</v>
      </c>
      <c r="I12" s="514">
        <f t="shared" si="2"/>
        <v>0</v>
      </c>
      <c r="J12" s="552" t="str">
        <f t="shared" si="3"/>
        <v/>
      </c>
      <c r="K12" s="735">
        <f>E12</f>
        <v>4388000</v>
      </c>
    </row>
    <row r="13" spans="1:11" ht="12.75" customHeight="1" x14ac:dyDescent="0.25">
      <c r="A13" s="733" t="s">
        <v>989</v>
      </c>
      <c r="B13" s="169"/>
      <c r="C13" s="748"/>
      <c r="D13" s="745"/>
      <c r="E13" s="733"/>
      <c r="F13" s="733"/>
      <c r="G13" s="733"/>
      <c r="H13" s="733"/>
      <c r="I13" s="514">
        <f t="shared" si="2"/>
        <v>0</v>
      </c>
      <c r="J13" s="552" t="str">
        <f t="shared" si="3"/>
        <v/>
      </c>
      <c r="K13" s="735"/>
    </row>
    <row r="14" spans="1:11" ht="12.75" customHeight="1" x14ac:dyDescent="0.25">
      <c r="A14" s="733" t="s">
        <v>1450</v>
      </c>
      <c r="B14" s="169"/>
      <c r="C14" s="748">
        <v>14834432</v>
      </c>
      <c r="D14" s="745"/>
      <c r="E14" s="733"/>
      <c r="F14" s="733"/>
      <c r="G14" s="733"/>
      <c r="H14" s="733"/>
      <c r="I14" s="514">
        <f t="shared" si="2"/>
        <v>0</v>
      </c>
      <c r="J14" s="552" t="str">
        <f t="shared" si="3"/>
        <v/>
      </c>
      <c r="K14" s="735"/>
    </row>
    <row r="15" spans="1:11" ht="12.75" customHeight="1" x14ac:dyDescent="0.25">
      <c r="A15" s="733" t="s">
        <v>990</v>
      </c>
      <c r="B15" s="169"/>
      <c r="C15" s="748"/>
      <c r="D15" s="745"/>
      <c r="E15" s="733"/>
      <c r="F15" s="733"/>
      <c r="G15" s="733"/>
      <c r="H15" s="733"/>
      <c r="I15" s="514">
        <f t="shared" si="2"/>
        <v>0</v>
      </c>
      <c r="J15" s="552" t="str">
        <f t="shared" si="3"/>
        <v/>
      </c>
      <c r="K15" s="735"/>
    </row>
    <row r="16" spans="1:11" ht="12.75" customHeight="1" x14ac:dyDescent="0.25">
      <c r="A16" s="733" t="s">
        <v>1433</v>
      </c>
      <c r="B16" s="169"/>
      <c r="C16" s="748">
        <v>21904477</v>
      </c>
      <c r="D16" s="745">
        <v>9115575</v>
      </c>
      <c r="E16" s="733">
        <v>9115575</v>
      </c>
      <c r="F16" s="733"/>
      <c r="G16" s="733">
        <v>10371779.190000001</v>
      </c>
      <c r="H16" s="733">
        <f>E16/12*12</f>
        <v>9115575</v>
      </c>
      <c r="I16" s="44">
        <f>G16-H16</f>
        <v>1256204.1900000013</v>
      </c>
      <c r="J16" s="124">
        <f>IF(I16=0,"",I16/H16)</f>
        <v>0.13780855184670207</v>
      </c>
      <c r="K16" s="735">
        <f>E16</f>
        <v>9115575</v>
      </c>
    </row>
    <row r="17" spans="1:11" ht="12.75" customHeight="1" x14ac:dyDescent="0.25">
      <c r="A17" s="106" t="s">
        <v>623</v>
      </c>
      <c r="B17" s="169"/>
      <c r="C17" s="516">
        <f t="shared" ref="C17:I17" si="4">SUM(C18:C28)</f>
        <v>48437135</v>
      </c>
      <c r="D17" s="475">
        <f t="shared" si="4"/>
        <v>66874665</v>
      </c>
      <c r="E17" s="430">
        <f t="shared" si="4"/>
        <v>41304907</v>
      </c>
      <c r="F17" s="430">
        <f t="shared" si="4"/>
        <v>0</v>
      </c>
      <c r="G17" s="430">
        <f t="shared" si="4"/>
        <v>29189264</v>
      </c>
      <c r="H17" s="430">
        <f t="shared" si="4"/>
        <v>41304907</v>
      </c>
      <c r="I17" s="430">
        <f t="shared" si="4"/>
        <v>-12115643</v>
      </c>
      <c r="J17" s="553">
        <f>IF(I17=0,"",I17/H17)</f>
        <v>-0.29332212272018915</v>
      </c>
      <c r="K17" s="513">
        <f>SUM(K18:K28)</f>
        <v>41304907</v>
      </c>
    </row>
    <row r="18" spans="1:11" ht="12.75" customHeight="1" x14ac:dyDescent="0.25">
      <c r="A18" s="1002" t="s">
        <v>623</v>
      </c>
      <c r="B18" s="169"/>
      <c r="C18" s="779"/>
      <c r="D18" s="780"/>
      <c r="E18" s="734"/>
      <c r="F18" s="734"/>
      <c r="G18" s="734"/>
      <c r="H18" s="734"/>
      <c r="I18" s="514">
        <f t="shared" ref="I18:I25" si="5">G18-H18</f>
        <v>0</v>
      </c>
      <c r="J18" s="552" t="str">
        <f t="shared" ref="J18:J25" si="6">IF(I18=0,"",I18/H18)</f>
        <v/>
      </c>
      <c r="K18" s="736"/>
    </row>
    <row r="19" spans="1:11" ht="12.75" customHeight="1" x14ac:dyDescent="0.25">
      <c r="A19" s="1002" t="s">
        <v>1452</v>
      </c>
      <c r="B19" s="169"/>
      <c r="C19" s="748"/>
      <c r="D19" s="745"/>
      <c r="E19" s="733"/>
      <c r="F19" s="733"/>
      <c r="G19" s="733"/>
      <c r="H19" s="733"/>
      <c r="I19" s="44">
        <f t="shared" si="5"/>
        <v>0</v>
      </c>
      <c r="J19" s="124" t="str">
        <f t="shared" si="6"/>
        <v/>
      </c>
      <c r="K19" s="735"/>
    </row>
    <row r="20" spans="1:11" ht="12.75" customHeight="1" x14ac:dyDescent="0.25">
      <c r="A20" s="1002" t="s">
        <v>771</v>
      </c>
      <c r="B20" s="169"/>
      <c r="C20" s="748"/>
      <c r="D20" s="745"/>
      <c r="E20" s="733"/>
      <c r="F20" s="733"/>
      <c r="G20" s="733"/>
      <c r="H20" s="733"/>
      <c r="I20" s="44">
        <f t="shared" si="5"/>
        <v>0</v>
      </c>
      <c r="J20" s="124" t="str">
        <f t="shared" si="6"/>
        <v/>
      </c>
      <c r="K20" s="735"/>
    </row>
    <row r="21" spans="1:11" ht="12.75" customHeight="1" x14ac:dyDescent="0.25">
      <c r="A21" s="1002" t="s">
        <v>1434</v>
      </c>
      <c r="B21" s="169"/>
      <c r="C21" s="748"/>
      <c r="D21" s="745">
        <v>3603000</v>
      </c>
      <c r="E21" s="733"/>
      <c r="F21" s="733"/>
      <c r="G21" s="733"/>
      <c r="H21" s="733"/>
      <c r="I21" s="44">
        <f t="shared" si="5"/>
        <v>0</v>
      </c>
      <c r="J21" s="124" t="str">
        <f t="shared" si="6"/>
        <v/>
      </c>
      <c r="K21" s="735"/>
    </row>
    <row r="22" spans="1:11" ht="12.75" customHeight="1" x14ac:dyDescent="0.25">
      <c r="A22" s="1002" t="s">
        <v>1435</v>
      </c>
      <c r="B22" s="169"/>
      <c r="C22" s="748"/>
      <c r="D22" s="745">
        <v>4264000</v>
      </c>
      <c r="E22" s="733">
        <v>4264000</v>
      </c>
      <c r="F22" s="733"/>
      <c r="G22" s="733"/>
      <c r="H22" s="733">
        <f>E22/12*12</f>
        <v>4264000</v>
      </c>
      <c r="I22" s="44">
        <f t="shared" si="5"/>
        <v>-4264000</v>
      </c>
      <c r="J22" s="124">
        <f t="shared" si="6"/>
        <v>-1</v>
      </c>
      <c r="K22" s="735">
        <f t="shared" ref="K22:K23" si="7">E22</f>
        <v>4264000</v>
      </c>
    </row>
    <row r="23" spans="1:11" ht="12.75" customHeight="1" x14ac:dyDescent="0.25">
      <c r="A23" s="1002" t="s">
        <v>1436</v>
      </c>
      <c r="B23" s="169"/>
      <c r="C23" s="748"/>
      <c r="D23" s="745">
        <v>24079242</v>
      </c>
      <c r="E23" s="733">
        <v>24079242</v>
      </c>
      <c r="F23" s="733"/>
      <c r="G23" s="733"/>
      <c r="H23" s="733">
        <f>E23/12*12</f>
        <v>24079242</v>
      </c>
      <c r="I23" s="44">
        <f t="shared" si="5"/>
        <v>-24079242</v>
      </c>
      <c r="J23" s="124">
        <f t="shared" si="6"/>
        <v>-1</v>
      </c>
      <c r="K23" s="735">
        <f t="shared" si="7"/>
        <v>24079242</v>
      </c>
    </row>
    <row r="24" spans="1:11" ht="12.75" customHeight="1" x14ac:dyDescent="0.25">
      <c r="A24" s="1002" t="s">
        <v>1437</v>
      </c>
      <c r="B24" s="169"/>
      <c r="C24" s="748">
        <v>14582180</v>
      </c>
      <c r="D24" s="745">
        <v>22740423</v>
      </c>
      <c r="E24" s="733"/>
      <c r="F24" s="733"/>
      <c r="G24" s="733">
        <v>3231264</v>
      </c>
      <c r="H24" s="733"/>
      <c r="I24" s="44">
        <f t="shared" si="5"/>
        <v>3231264</v>
      </c>
      <c r="J24" s="124" t="e">
        <f t="shared" si="6"/>
        <v>#DIV/0!</v>
      </c>
      <c r="K24" s="735"/>
    </row>
    <row r="25" spans="1:11" ht="12.75" customHeight="1" x14ac:dyDescent="0.25">
      <c r="A25" s="1002" t="s">
        <v>1451</v>
      </c>
      <c r="B25" s="169"/>
      <c r="C25" s="748">
        <v>27665322</v>
      </c>
      <c r="D25" s="745"/>
      <c r="E25" s="733"/>
      <c r="F25" s="733"/>
      <c r="G25" s="733"/>
      <c r="H25" s="733"/>
      <c r="I25" s="44">
        <f t="shared" si="5"/>
        <v>0</v>
      </c>
      <c r="J25" s="124" t="str">
        <f t="shared" si="6"/>
        <v/>
      </c>
      <c r="K25" s="735"/>
    </row>
    <row r="26" spans="1:11" ht="12.75" customHeight="1" x14ac:dyDescent="0.25">
      <c r="A26" s="1002" t="s">
        <v>1438</v>
      </c>
      <c r="B26" s="169">
        <v>4</v>
      </c>
      <c r="C26" s="748"/>
      <c r="D26" s="745">
        <v>10200000</v>
      </c>
      <c r="E26" s="733">
        <v>12473665</v>
      </c>
      <c r="F26" s="733"/>
      <c r="G26" s="733">
        <v>10200000</v>
      </c>
      <c r="H26" s="733">
        <f>E26/12*12</f>
        <v>12473665</v>
      </c>
      <c r="I26" s="44">
        <f t="shared" ref="I26:I32" si="8">G26-H26</f>
        <v>-2273665</v>
      </c>
      <c r="J26" s="124">
        <f t="shared" ref="J26:J33" si="9">IF(I26=0,"",I26/H26)</f>
        <v>-0.18227722165057342</v>
      </c>
      <c r="K26" s="735">
        <f t="shared" ref="K26:K27" si="10">E26</f>
        <v>12473665</v>
      </c>
    </row>
    <row r="27" spans="1:11" ht="12.75" customHeight="1" x14ac:dyDescent="0.25">
      <c r="A27" s="1002" t="s">
        <v>1439</v>
      </c>
      <c r="B27" s="169"/>
      <c r="C27" s="748">
        <v>242517</v>
      </c>
      <c r="D27" s="745">
        <v>488000</v>
      </c>
      <c r="E27" s="733">
        <v>488000</v>
      </c>
      <c r="F27" s="733"/>
      <c r="G27" s="733"/>
      <c r="H27" s="733">
        <f>E27/12*12</f>
        <v>488000</v>
      </c>
      <c r="I27" s="44">
        <f t="shared" si="8"/>
        <v>-488000</v>
      </c>
      <c r="J27" s="124">
        <f t="shared" si="9"/>
        <v>-1</v>
      </c>
      <c r="K27" s="735">
        <f t="shared" si="10"/>
        <v>488000</v>
      </c>
    </row>
    <row r="28" spans="1:11" ht="12.75" customHeight="1" x14ac:dyDescent="0.25">
      <c r="A28" s="1002" t="s">
        <v>1440</v>
      </c>
      <c r="B28" s="169"/>
      <c r="C28" s="748">
        <v>5947116</v>
      </c>
      <c r="D28" s="745">
        <v>1500000</v>
      </c>
      <c r="E28" s="733"/>
      <c r="F28" s="733"/>
      <c r="G28" s="733">
        <v>15758000</v>
      </c>
      <c r="H28" s="733"/>
      <c r="I28" s="44">
        <f t="shared" si="8"/>
        <v>15758000</v>
      </c>
      <c r="J28" s="124" t="e">
        <f t="shared" si="9"/>
        <v>#DIV/0!</v>
      </c>
      <c r="K28" s="735"/>
    </row>
    <row r="29" spans="1:11" ht="12.75" customHeight="1" x14ac:dyDescent="0.25">
      <c r="A29" s="106" t="s">
        <v>519</v>
      </c>
      <c r="B29" s="169"/>
      <c r="C29" s="516">
        <f t="shared" ref="C29:H29" si="11">SUM(C30:C30)</f>
        <v>0</v>
      </c>
      <c r="D29" s="475">
        <f t="shared" si="11"/>
        <v>0</v>
      </c>
      <c r="E29" s="430">
        <f t="shared" si="11"/>
        <v>0</v>
      </c>
      <c r="F29" s="430">
        <f t="shared" si="11"/>
        <v>0</v>
      </c>
      <c r="G29" s="430">
        <f t="shared" si="11"/>
        <v>0</v>
      </c>
      <c r="H29" s="430">
        <f t="shared" si="11"/>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2">SUM(C32:C32)</f>
        <v>0</v>
      </c>
      <c r="D31" s="475">
        <f t="shared" si="12"/>
        <v>0</v>
      </c>
      <c r="E31" s="430">
        <f t="shared" si="12"/>
        <v>0</v>
      </c>
      <c r="F31" s="430">
        <f t="shared" si="12"/>
        <v>0</v>
      </c>
      <c r="G31" s="430">
        <f t="shared" si="12"/>
        <v>0</v>
      </c>
      <c r="H31" s="430">
        <f t="shared" si="12"/>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3">C8+C17+C29+C31</f>
        <v>637128044</v>
      </c>
      <c r="D33" s="74">
        <f t="shared" si="13"/>
        <v>675483240</v>
      </c>
      <c r="E33" s="73">
        <f t="shared" si="13"/>
        <v>738911482</v>
      </c>
      <c r="F33" s="73">
        <f t="shared" si="13"/>
        <v>0</v>
      </c>
      <c r="G33" s="73">
        <f t="shared" si="13"/>
        <v>728052043.19000006</v>
      </c>
      <c r="H33" s="73">
        <f t="shared" si="13"/>
        <v>738911482</v>
      </c>
      <c r="I33" s="73">
        <f t="shared" si="13"/>
        <v>-10859438.809999999</v>
      </c>
      <c r="J33" s="304">
        <f t="shared" si="9"/>
        <v>-1.4696535477574293E-2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4">SUM(C37:C44)</f>
        <v>352860137</v>
      </c>
      <c r="D36" s="46">
        <f t="shared" si="14"/>
        <v>255267424.99999985</v>
      </c>
      <c r="E36" s="44">
        <f t="shared" si="14"/>
        <v>337738291</v>
      </c>
      <c r="F36" s="44">
        <f t="shared" si="14"/>
        <v>0</v>
      </c>
      <c r="G36" s="44">
        <f t="shared" si="14"/>
        <v>379905220.81000006</v>
      </c>
      <c r="H36" s="44">
        <f t="shared" si="14"/>
        <v>337738291</v>
      </c>
      <c r="I36" s="44">
        <f t="shared" si="14"/>
        <v>42166929.810000032</v>
      </c>
      <c r="J36" s="343">
        <f>IF(I36=0,"",I36/H36)</f>
        <v>0.12485090063418373</v>
      </c>
      <c r="K36" s="144">
        <f>SUM(K37:K44)</f>
        <v>337738291</v>
      </c>
    </row>
    <row r="37" spans="1:11" ht="12.75" customHeight="1" x14ac:dyDescent="0.25">
      <c r="A37" s="778" t="s">
        <v>1441</v>
      </c>
      <c r="B37" s="169"/>
      <c r="C37" s="779">
        <v>164899849</v>
      </c>
      <c r="D37" s="780">
        <v>187012424.99999985</v>
      </c>
      <c r="E37" s="734">
        <v>197724967</v>
      </c>
      <c r="F37" s="734"/>
      <c r="G37" s="734">
        <v>183349220.81000003</v>
      </c>
      <c r="H37" s="733">
        <f>E37/12*12</f>
        <v>197724967</v>
      </c>
      <c r="I37" s="514">
        <f>G37-H37</f>
        <v>-14375746.189999968</v>
      </c>
      <c r="J37" s="552">
        <f>IF(I37=0,"",I37/H37)</f>
        <v>-7.2705771092630739E-2</v>
      </c>
      <c r="K37" s="736">
        <f>E37</f>
        <v>197724967</v>
      </c>
    </row>
    <row r="38" spans="1:11" ht="12.75" customHeight="1" x14ac:dyDescent="0.25">
      <c r="A38" s="778" t="s">
        <v>1453</v>
      </c>
      <c r="B38" s="169"/>
      <c r="C38" s="748">
        <v>117251994</v>
      </c>
      <c r="D38" s="745"/>
      <c r="E38" s="733">
        <v>88758324</v>
      </c>
      <c r="F38" s="733"/>
      <c r="G38" s="733">
        <v>134000000</v>
      </c>
      <c r="H38" s="733">
        <f>E38/12*12</f>
        <v>88758324</v>
      </c>
      <c r="I38" s="514">
        <f t="shared" ref="I38:I44" si="15">G38-H38</f>
        <v>45241676</v>
      </c>
      <c r="J38" s="552">
        <f t="shared" ref="J38:J44" si="16">IF(I38=0,"",I38/H38)</f>
        <v>0.50971755618098424</v>
      </c>
      <c r="K38" s="735">
        <f>E38</f>
        <v>88758324</v>
      </c>
    </row>
    <row r="39" spans="1:11" ht="12.75" customHeight="1" x14ac:dyDescent="0.25">
      <c r="A39" s="778" t="s">
        <v>1001</v>
      </c>
      <c r="B39" s="169"/>
      <c r="C39" s="748">
        <v>9957109</v>
      </c>
      <c r="D39" s="745">
        <v>35000000</v>
      </c>
      <c r="E39" s="733">
        <v>18000000</v>
      </c>
      <c r="F39" s="733"/>
      <c r="G39" s="733">
        <v>18000000</v>
      </c>
      <c r="H39" s="733">
        <f>E39/12*12</f>
        <v>18000000</v>
      </c>
      <c r="I39" s="514">
        <f t="shared" si="15"/>
        <v>0</v>
      </c>
      <c r="J39" s="552" t="str">
        <f t="shared" si="16"/>
        <v/>
      </c>
      <c r="K39" s="735">
        <f>E39</f>
        <v>18000000</v>
      </c>
    </row>
    <row r="40" spans="1:11" ht="12.75" customHeight="1" x14ac:dyDescent="0.25">
      <c r="A40" s="778" t="s">
        <v>1454</v>
      </c>
      <c r="B40" s="169"/>
      <c r="C40" s="748"/>
      <c r="D40" s="745"/>
      <c r="E40" s="733"/>
      <c r="F40" s="733"/>
      <c r="G40" s="733"/>
      <c r="H40" s="733"/>
      <c r="I40" s="514">
        <f t="shared" si="15"/>
        <v>0</v>
      </c>
      <c r="J40" s="552" t="str">
        <f t="shared" si="16"/>
        <v/>
      </c>
      <c r="K40" s="735"/>
    </row>
    <row r="41" spans="1:11" ht="12.75" customHeight="1" x14ac:dyDescent="0.25">
      <c r="A41" s="778" t="s">
        <v>1455</v>
      </c>
      <c r="B41" s="169"/>
      <c r="C41" s="748"/>
      <c r="D41" s="745"/>
      <c r="E41" s="733"/>
      <c r="F41" s="733"/>
      <c r="G41" s="733"/>
      <c r="H41" s="733"/>
      <c r="I41" s="514">
        <f t="shared" si="15"/>
        <v>0</v>
      </c>
      <c r="J41" s="552" t="str">
        <f t="shared" si="16"/>
        <v/>
      </c>
      <c r="K41" s="735"/>
    </row>
    <row r="42" spans="1:11" ht="12.75" customHeight="1" x14ac:dyDescent="0.25">
      <c r="A42" s="778" t="s">
        <v>566</v>
      </c>
      <c r="B42" s="169"/>
      <c r="C42" s="748"/>
      <c r="D42" s="745"/>
      <c r="E42" s="733"/>
      <c r="F42" s="733"/>
      <c r="G42" s="733"/>
      <c r="H42" s="733"/>
      <c r="I42" s="514">
        <f t="shared" si="15"/>
        <v>0</v>
      </c>
      <c r="J42" s="552" t="str">
        <f t="shared" si="16"/>
        <v/>
      </c>
      <c r="K42" s="735"/>
    </row>
    <row r="43" spans="1:11" ht="12.75" customHeight="1" x14ac:dyDescent="0.25">
      <c r="A43" s="778" t="s">
        <v>1442</v>
      </c>
      <c r="B43" s="169"/>
      <c r="C43" s="748">
        <v>52751849</v>
      </c>
      <c r="D43" s="745">
        <v>33255000</v>
      </c>
      <c r="E43" s="733">
        <v>33255000</v>
      </c>
      <c r="F43" s="733"/>
      <c r="G43" s="733">
        <v>44556000</v>
      </c>
      <c r="H43" s="733">
        <f>E43/12*12</f>
        <v>33255000</v>
      </c>
      <c r="I43" s="514">
        <f t="shared" si="15"/>
        <v>11301000</v>
      </c>
      <c r="J43" s="552">
        <f t="shared" si="16"/>
        <v>0.33982859720342806</v>
      </c>
      <c r="K43" s="735">
        <f>E43</f>
        <v>33255000</v>
      </c>
    </row>
    <row r="44" spans="1:11" ht="12.75" customHeight="1" x14ac:dyDescent="0.25">
      <c r="A44" s="778" t="s">
        <v>1456</v>
      </c>
      <c r="B44" s="169"/>
      <c r="C44" s="748">
        <v>7999336</v>
      </c>
      <c r="D44" s="745"/>
      <c r="E44" s="733"/>
      <c r="F44" s="733"/>
      <c r="G44" s="733"/>
      <c r="H44" s="733"/>
      <c r="I44" s="514">
        <f t="shared" si="15"/>
        <v>0</v>
      </c>
      <c r="J44" s="552" t="str">
        <f t="shared" si="16"/>
        <v/>
      </c>
      <c r="K44" s="735"/>
    </row>
    <row r="45" spans="1:11" ht="12.75" customHeight="1" x14ac:dyDescent="0.25">
      <c r="A45" s="342" t="str">
        <f>A17</f>
        <v>Provincial Government:</v>
      </c>
      <c r="B45" s="169"/>
      <c r="C45" s="516">
        <f t="shared" ref="C45:H45" si="17">SUM(C46:C56)</f>
        <v>77253612</v>
      </c>
      <c r="D45" s="475">
        <f t="shared" si="17"/>
        <v>270624156</v>
      </c>
      <c r="E45" s="430">
        <f t="shared" si="17"/>
        <v>316942789</v>
      </c>
      <c r="F45" s="430">
        <f t="shared" si="17"/>
        <v>870265.01</v>
      </c>
      <c r="G45" s="430">
        <f t="shared" si="17"/>
        <v>144246601.04000002</v>
      </c>
      <c r="H45" s="430">
        <f t="shared" si="17"/>
        <v>316942789</v>
      </c>
      <c r="I45" s="514">
        <f t="shared" ref="I45:I60" si="18">G45-H45</f>
        <v>-172696187.95999998</v>
      </c>
      <c r="J45" s="552">
        <f>IF(I45=0,"",I45/H45)</f>
        <v>-0.54488126549552129</v>
      </c>
      <c r="K45" s="513">
        <f>SUM(K46:K56)</f>
        <v>316942789</v>
      </c>
    </row>
    <row r="46" spans="1:11" ht="12.75" customHeight="1" x14ac:dyDescent="0.25">
      <c r="A46" s="781" t="s">
        <v>1457</v>
      </c>
      <c r="B46" s="169"/>
      <c r="C46" s="783"/>
      <c r="D46" s="784"/>
      <c r="E46" s="737"/>
      <c r="F46" s="733"/>
      <c r="G46" s="733"/>
      <c r="H46" s="737"/>
      <c r="I46" s="514">
        <f t="shared" si="18"/>
        <v>0</v>
      </c>
      <c r="J46" s="552" t="str">
        <f t="shared" ref="J46:J55" si="19">IF(I46=0,"",I46/H46)</f>
        <v/>
      </c>
      <c r="K46" s="738"/>
    </row>
    <row r="47" spans="1:11" ht="12.75" customHeight="1" x14ac:dyDescent="0.25">
      <c r="A47" s="785" t="s">
        <v>1472</v>
      </c>
      <c r="B47" s="169"/>
      <c r="C47" s="786"/>
      <c r="D47" s="787"/>
      <c r="E47" s="788">
        <v>4000000</v>
      </c>
      <c r="F47" s="733"/>
      <c r="G47" s="733"/>
      <c r="H47" s="788">
        <f t="shared" ref="H47:H55" si="20">E47/12*12</f>
        <v>4000000</v>
      </c>
      <c r="I47" s="44">
        <f t="shared" si="18"/>
        <v>-4000000</v>
      </c>
      <c r="J47" s="124">
        <f t="shared" si="19"/>
        <v>-1</v>
      </c>
      <c r="K47" s="789">
        <f t="shared" ref="K47:K56" si="21">E47</f>
        <v>4000000</v>
      </c>
    </row>
    <row r="48" spans="1:11" ht="12.75" customHeight="1" x14ac:dyDescent="0.25">
      <c r="A48" s="785" t="s">
        <v>1473</v>
      </c>
      <c r="B48" s="169"/>
      <c r="C48" s="786">
        <v>5557287</v>
      </c>
      <c r="D48" s="787"/>
      <c r="E48" s="788">
        <v>12835934</v>
      </c>
      <c r="F48" s="733"/>
      <c r="G48" s="733"/>
      <c r="H48" s="788">
        <f t="shared" si="20"/>
        <v>12835934</v>
      </c>
      <c r="I48" s="44">
        <f t="shared" si="18"/>
        <v>-12835934</v>
      </c>
      <c r="J48" s="124">
        <f t="shared" si="19"/>
        <v>-1</v>
      </c>
      <c r="K48" s="789">
        <f t="shared" si="21"/>
        <v>12835934</v>
      </c>
    </row>
    <row r="49" spans="1:11" ht="12.75" customHeight="1" x14ac:dyDescent="0.25">
      <c r="A49" s="785" t="s">
        <v>1444</v>
      </c>
      <c r="B49" s="169"/>
      <c r="C49" s="786"/>
      <c r="D49" s="733">
        <v>6124156</v>
      </c>
      <c r="E49" s="733">
        <v>6124156</v>
      </c>
      <c r="F49" s="733"/>
      <c r="G49" s="733"/>
      <c r="H49" s="733">
        <f t="shared" si="20"/>
        <v>6124156</v>
      </c>
      <c r="I49" s="44">
        <f t="shared" si="18"/>
        <v>-6124156</v>
      </c>
      <c r="J49" s="124">
        <f t="shared" si="19"/>
        <v>-1</v>
      </c>
      <c r="K49" s="733">
        <f t="shared" si="21"/>
        <v>6124156</v>
      </c>
    </row>
    <row r="50" spans="1:11" ht="12.75" customHeight="1" x14ac:dyDescent="0.25">
      <c r="A50" s="785" t="s">
        <v>1459</v>
      </c>
      <c r="B50" s="169"/>
      <c r="C50" s="786"/>
      <c r="D50" s="733">
        <v>2500000</v>
      </c>
      <c r="E50" s="733">
        <v>2500000</v>
      </c>
      <c r="F50" s="733"/>
      <c r="G50" s="733">
        <v>2500000</v>
      </c>
      <c r="H50" s="733">
        <f t="shared" si="20"/>
        <v>2500000</v>
      </c>
      <c r="I50" s="44">
        <f t="shared" si="18"/>
        <v>0</v>
      </c>
      <c r="J50" s="124" t="str">
        <f t="shared" si="19"/>
        <v/>
      </c>
      <c r="K50" s="733">
        <f t="shared" si="21"/>
        <v>2500000</v>
      </c>
    </row>
    <row r="51" spans="1:11" ht="12.75" customHeight="1" x14ac:dyDescent="0.25">
      <c r="A51" s="785" t="s">
        <v>1439</v>
      </c>
      <c r="B51" s="169"/>
      <c r="C51" s="786">
        <v>1065175</v>
      </c>
      <c r="D51" s="733">
        <v>774000</v>
      </c>
      <c r="E51" s="733">
        <v>774000</v>
      </c>
      <c r="F51" s="733"/>
      <c r="G51" s="733"/>
      <c r="H51" s="733">
        <f t="shared" si="20"/>
        <v>774000</v>
      </c>
      <c r="I51" s="44">
        <f t="shared" si="18"/>
        <v>-774000</v>
      </c>
      <c r="J51" s="124">
        <f t="shared" si="19"/>
        <v>-1</v>
      </c>
      <c r="K51" s="733">
        <f t="shared" si="21"/>
        <v>774000</v>
      </c>
    </row>
    <row r="52" spans="1:11" ht="12.75" customHeight="1" x14ac:dyDescent="0.25">
      <c r="A52" s="785" t="s">
        <v>1440</v>
      </c>
      <c r="B52" s="169"/>
      <c r="C52" s="786">
        <v>9419741</v>
      </c>
      <c r="D52" s="733"/>
      <c r="E52" s="733">
        <v>2820431</v>
      </c>
      <c r="F52" s="733"/>
      <c r="G52" s="733">
        <v>97986000</v>
      </c>
      <c r="H52" s="788">
        <f t="shared" si="20"/>
        <v>2820431</v>
      </c>
      <c r="I52" s="44">
        <f t="shared" si="18"/>
        <v>95165569</v>
      </c>
      <c r="J52" s="124">
        <f t="shared" si="19"/>
        <v>33.741498728385842</v>
      </c>
      <c r="K52" s="733">
        <f t="shared" si="21"/>
        <v>2820431</v>
      </c>
    </row>
    <row r="53" spans="1:11" ht="12.75" customHeight="1" x14ac:dyDescent="0.25">
      <c r="A53" s="785" t="s">
        <v>1443</v>
      </c>
      <c r="B53" s="169"/>
      <c r="C53" s="786">
        <v>60811409</v>
      </c>
      <c r="D53" s="733">
        <v>244264000</v>
      </c>
      <c r="E53" s="733">
        <v>250388156</v>
      </c>
      <c r="F53" s="733">
        <v>870265.01</v>
      </c>
      <c r="G53" s="733">
        <v>43730601.040000007</v>
      </c>
      <c r="H53" s="733">
        <f t="shared" si="20"/>
        <v>250388156</v>
      </c>
      <c r="I53" s="44">
        <f t="shared" si="18"/>
        <v>-206657554.95999998</v>
      </c>
      <c r="J53" s="124">
        <f t="shared" si="19"/>
        <v>-0.82534876354135533</v>
      </c>
      <c r="K53" s="733">
        <f t="shared" si="21"/>
        <v>250388156</v>
      </c>
    </row>
    <row r="54" spans="1:11" ht="12.75" customHeight="1" x14ac:dyDescent="0.25">
      <c r="A54" s="785" t="s">
        <v>1445</v>
      </c>
      <c r="B54" s="169"/>
      <c r="C54" s="786"/>
      <c r="D54" s="733">
        <v>6750000</v>
      </c>
      <c r="E54" s="733">
        <v>6750000</v>
      </c>
      <c r="F54" s="733"/>
      <c r="G54" s="733"/>
      <c r="H54" s="733">
        <f t="shared" si="20"/>
        <v>6750000</v>
      </c>
      <c r="I54" s="44">
        <f t="shared" si="18"/>
        <v>-6750000</v>
      </c>
      <c r="J54" s="124">
        <f t="shared" si="19"/>
        <v>-1</v>
      </c>
      <c r="K54" s="733">
        <f t="shared" si="21"/>
        <v>6750000</v>
      </c>
    </row>
    <row r="55" spans="1:11" ht="12.75" customHeight="1" x14ac:dyDescent="0.25">
      <c r="A55" s="785" t="s">
        <v>1474</v>
      </c>
      <c r="B55" s="169"/>
      <c r="C55" s="786"/>
      <c r="D55" s="733"/>
      <c r="E55" s="788">
        <v>22465010</v>
      </c>
      <c r="F55" s="733"/>
      <c r="G55" s="733"/>
      <c r="H55" s="788">
        <f t="shared" si="20"/>
        <v>22465010</v>
      </c>
      <c r="I55" s="44">
        <f t="shared" si="18"/>
        <v>-22465010</v>
      </c>
      <c r="J55" s="124">
        <f t="shared" si="19"/>
        <v>-1</v>
      </c>
      <c r="K55" s="733">
        <f t="shared" si="21"/>
        <v>22465010</v>
      </c>
    </row>
    <row r="56" spans="1:11" ht="12.75" customHeight="1" x14ac:dyDescent="0.25">
      <c r="A56" s="782" t="s">
        <v>1446</v>
      </c>
      <c r="B56" s="169"/>
      <c r="C56" s="748">
        <v>400000</v>
      </c>
      <c r="D56" s="745">
        <v>10212000</v>
      </c>
      <c r="E56" s="733">
        <v>8285102</v>
      </c>
      <c r="F56" s="733"/>
      <c r="G56" s="733">
        <v>30000</v>
      </c>
      <c r="H56" s="733">
        <f>E56/12*12</f>
        <v>8285102</v>
      </c>
      <c r="I56" s="44">
        <f t="shared" si="18"/>
        <v>-8255102</v>
      </c>
      <c r="J56" s="124">
        <f t="shared" ref="J56:J61" si="22">IF(I56=0,"",I56/H56)</f>
        <v>-0.99637904276857425</v>
      </c>
      <c r="K56" s="733">
        <f t="shared" si="21"/>
        <v>8285102</v>
      </c>
    </row>
    <row r="57" spans="1:11" ht="12.75" customHeight="1" x14ac:dyDescent="0.25">
      <c r="A57" s="106" t="str">
        <f>A29</f>
        <v>District Municipality:</v>
      </c>
      <c r="B57" s="169"/>
      <c r="C57" s="516">
        <f t="shared" ref="C57:H57" si="23">SUM(C58:C58)</f>
        <v>0</v>
      </c>
      <c r="D57" s="475">
        <f t="shared" si="23"/>
        <v>0</v>
      </c>
      <c r="E57" s="430">
        <f t="shared" si="23"/>
        <v>0</v>
      </c>
      <c r="F57" s="430">
        <f t="shared" si="23"/>
        <v>0</v>
      </c>
      <c r="G57" s="430">
        <f t="shared" si="23"/>
        <v>0</v>
      </c>
      <c r="H57" s="430">
        <f t="shared" si="23"/>
        <v>0</v>
      </c>
      <c r="I57" s="514">
        <f t="shared" si="18"/>
        <v>0</v>
      </c>
      <c r="J57" s="552" t="str">
        <f t="shared" si="22"/>
        <v/>
      </c>
      <c r="K57" s="513">
        <f>SUM(K58:K58)</f>
        <v>0</v>
      </c>
    </row>
    <row r="58" spans="1:11" ht="12.75" customHeight="1" x14ac:dyDescent="0.25">
      <c r="A58" s="781" t="s">
        <v>567</v>
      </c>
      <c r="B58" s="169"/>
      <c r="C58" s="783"/>
      <c r="D58" s="784"/>
      <c r="E58" s="737"/>
      <c r="F58" s="737"/>
      <c r="G58" s="737"/>
      <c r="H58" s="737"/>
      <c r="I58" s="514">
        <f t="shared" si="18"/>
        <v>0</v>
      </c>
      <c r="J58" s="552" t="str">
        <f t="shared" si="22"/>
        <v/>
      </c>
      <c r="K58" s="738"/>
    </row>
    <row r="59" spans="1:11" ht="12.75" customHeight="1" x14ac:dyDescent="0.25">
      <c r="A59" s="106" t="str">
        <f>A31</f>
        <v>Other grant providers:</v>
      </c>
      <c r="B59" s="169"/>
      <c r="C59" s="516">
        <f t="shared" ref="C59:H59" si="24">SUM(C60:C60)</f>
        <v>0</v>
      </c>
      <c r="D59" s="475">
        <f t="shared" si="24"/>
        <v>0</v>
      </c>
      <c r="E59" s="430">
        <f t="shared" si="24"/>
        <v>0</v>
      </c>
      <c r="F59" s="430">
        <f t="shared" si="24"/>
        <v>0</v>
      </c>
      <c r="G59" s="430">
        <f t="shared" si="24"/>
        <v>0</v>
      </c>
      <c r="H59" s="430">
        <f t="shared" si="24"/>
        <v>0</v>
      </c>
      <c r="I59" s="514">
        <f t="shared" si="18"/>
        <v>0</v>
      </c>
      <c r="J59" s="552" t="str">
        <f t="shared" si="22"/>
        <v/>
      </c>
      <c r="K59" s="513">
        <f>SUM(K60:K60)</f>
        <v>0</v>
      </c>
    </row>
    <row r="60" spans="1:11" ht="12.75" customHeight="1" x14ac:dyDescent="0.25">
      <c r="A60" s="781" t="s">
        <v>567</v>
      </c>
      <c r="B60" s="169"/>
      <c r="C60" s="783"/>
      <c r="D60" s="784"/>
      <c r="E60" s="737"/>
      <c r="F60" s="737"/>
      <c r="G60" s="737"/>
      <c r="H60" s="737"/>
      <c r="I60" s="514">
        <f t="shared" si="18"/>
        <v>0</v>
      </c>
      <c r="J60" s="552" t="str">
        <f t="shared" si="22"/>
        <v/>
      </c>
      <c r="K60" s="738"/>
    </row>
    <row r="61" spans="1:11" ht="12.75" customHeight="1" x14ac:dyDescent="0.25">
      <c r="A61" s="557" t="s">
        <v>64</v>
      </c>
      <c r="B61" s="309">
        <v>5</v>
      </c>
      <c r="C61" s="516">
        <f t="shared" ref="C61:I61" si="25">C36+C45+C57+C59</f>
        <v>430113749</v>
      </c>
      <c r="D61" s="475">
        <f t="shared" si="25"/>
        <v>525891580.99999988</v>
      </c>
      <c r="E61" s="430">
        <f t="shared" si="25"/>
        <v>654681080</v>
      </c>
      <c r="F61" s="430">
        <f t="shared" si="25"/>
        <v>870265.01</v>
      </c>
      <c r="G61" s="430">
        <f t="shared" si="25"/>
        <v>524151821.85000008</v>
      </c>
      <c r="H61" s="430">
        <f t="shared" si="25"/>
        <v>654681080</v>
      </c>
      <c r="I61" s="430">
        <f t="shared" si="25"/>
        <v>-130529258.14999995</v>
      </c>
      <c r="J61" s="553">
        <f t="shared" si="22"/>
        <v>-0.19937838764181171</v>
      </c>
      <c r="K61" s="513">
        <f>K36+K45+K57+K59</f>
        <v>654681080</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6">C33+C61</f>
        <v>1067241793</v>
      </c>
      <c r="D63" s="305">
        <f t="shared" si="26"/>
        <v>1201374821</v>
      </c>
      <c r="E63" s="306">
        <f t="shared" si="26"/>
        <v>1393592562</v>
      </c>
      <c r="F63" s="306">
        <f t="shared" si="26"/>
        <v>870265.01</v>
      </c>
      <c r="G63" s="306">
        <f t="shared" si="26"/>
        <v>1252203865.0400002</v>
      </c>
      <c r="H63" s="306">
        <f t="shared" si="26"/>
        <v>1393592562</v>
      </c>
      <c r="I63" s="306">
        <f t="shared" si="26"/>
        <v>-141388696.95999995</v>
      </c>
      <c r="J63" s="307">
        <f>IF(I63=0,"",I63/H63)</f>
        <v>-0.10145626549347207</v>
      </c>
      <c r="K63" s="308">
        <f>K33+K61</f>
        <v>1393592562</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sqref="A1:XFD104857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"&amp;S71M&amp; " - "&amp;Head57</f>
        <v>KZN225 Msunduzi - Supporting Table SC7(1) Monthly Budget Statement - transfers and grant expenditure  - Q4 Fourth Quarter</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588690909</v>
      </c>
      <c r="D8" s="51">
        <f t="shared" si="0"/>
        <v>608608575</v>
      </c>
      <c r="E8" s="50">
        <f t="shared" si="0"/>
        <v>697606575</v>
      </c>
      <c r="F8" s="50">
        <f t="shared" si="0"/>
        <v>1267270.96</v>
      </c>
      <c r="G8" s="50">
        <f t="shared" si="0"/>
        <v>703741429.81999993</v>
      </c>
      <c r="H8" s="50">
        <f t="shared" si="0"/>
        <v>697606575</v>
      </c>
      <c r="I8" s="50">
        <f t="shared" si="0"/>
        <v>6134854.8199999984</v>
      </c>
      <c r="J8" s="343">
        <f t="shared" ref="J8:J33" si="1">IF(I8=0,"",I8/H8)</f>
        <v>8.7941470735134614E-3</v>
      </c>
      <c r="K8" s="194">
        <f>SUM(K9:K16)</f>
        <v>697606575</v>
      </c>
    </row>
    <row r="9" spans="1:11" x14ac:dyDescent="0.25">
      <c r="A9" s="396" t="s">
        <v>986</v>
      </c>
      <c r="B9" s="169"/>
      <c r="C9" s="779">
        <v>546052000</v>
      </c>
      <c r="D9" s="780">
        <v>593405000</v>
      </c>
      <c r="E9" s="734">
        <v>682403000</v>
      </c>
      <c r="F9" s="734"/>
      <c r="G9" s="734">
        <v>682403000</v>
      </c>
      <c r="H9" s="733">
        <f t="shared" ref="H9:H10" si="2">E9/12*12</f>
        <v>682403000</v>
      </c>
      <c r="I9" s="514">
        <f>G9-H9</f>
        <v>0</v>
      </c>
      <c r="J9" s="552" t="str">
        <f t="shared" si="1"/>
        <v/>
      </c>
      <c r="K9" s="736">
        <f>E9</f>
        <v>682403000</v>
      </c>
    </row>
    <row r="10" spans="1:11" x14ac:dyDescent="0.25">
      <c r="A10" s="396" t="s">
        <v>988</v>
      </c>
      <c r="B10" s="169"/>
      <c r="C10" s="748">
        <v>1700000</v>
      </c>
      <c r="D10" s="745">
        <v>1700000</v>
      </c>
      <c r="E10" s="733">
        <v>1700000</v>
      </c>
      <c r="F10" s="733">
        <v>786651.44</v>
      </c>
      <c r="G10" s="733">
        <v>1700000</v>
      </c>
      <c r="H10" s="733">
        <f t="shared" si="2"/>
        <v>1700000</v>
      </c>
      <c r="I10" s="514">
        <f t="shared" ref="I10:I16" si="3">G10-H10</f>
        <v>0</v>
      </c>
      <c r="J10" s="552" t="str">
        <f t="shared" ref="J10:J16" si="4">IF(I10=0,"",I10/H10)</f>
        <v/>
      </c>
      <c r="K10" s="736">
        <f>E10</f>
        <v>1700000</v>
      </c>
    </row>
    <row r="11" spans="1:11" x14ac:dyDescent="0.25">
      <c r="A11" s="396" t="s">
        <v>566</v>
      </c>
      <c r="B11" s="169"/>
      <c r="C11" s="748"/>
      <c r="D11" s="745"/>
      <c r="E11" s="733"/>
      <c r="F11" s="733"/>
      <c r="G11" s="733"/>
      <c r="H11" s="733"/>
      <c r="I11" s="514">
        <f t="shared" si="3"/>
        <v>0</v>
      </c>
      <c r="J11" s="552" t="str">
        <f t="shared" si="4"/>
        <v/>
      </c>
      <c r="K11" s="736"/>
    </row>
    <row r="12" spans="1:11" x14ac:dyDescent="0.25">
      <c r="A12" s="396" t="s">
        <v>995</v>
      </c>
      <c r="B12" s="169"/>
      <c r="C12" s="748">
        <v>4200000</v>
      </c>
      <c r="D12" s="745">
        <v>4388000</v>
      </c>
      <c r="E12" s="733">
        <v>4388000</v>
      </c>
      <c r="F12" s="733">
        <v>145353.01999999999</v>
      </c>
      <c r="G12" s="733">
        <v>3918986.2600000002</v>
      </c>
      <c r="H12" s="733">
        <f>E12/12*12</f>
        <v>4388000</v>
      </c>
      <c r="I12" s="514">
        <f t="shared" si="3"/>
        <v>-469013.73999999976</v>
      </c>
      <c r="J12" s="552">
        <f t="shared" si="4"/>
        <v>-0.10688553783044662</v>
      </c>
      <c r="K12" s="736">
        <f>E12</f>
        <v>4388000</v>
      </c>
    </row>
    <row r="13" spans="1:11" ht="12.75" customHeight="1" x14ac:dyDescent="0.25">
      <c r="A13" s="396" t="s">
        <v>989</v>
      </c>
      <c r="B13" s="169"/>
      <c r="C13" s="748"/>
      <c r="D13" s="745"/>
      <c r="E13" s="733"/>
      <c r="F13" s="733"/>
      <c r="G13" s="733"/>
      <c r="H13" s="733"/>
      <c r="I13" s="514">
        <f t="shared" si="3"/>
        <v>0</v>
      </c>
      <c r="J13" s="552" t="str">
        <f t="shared" si="4"/>
        <v/>
      </c>
      <c r="K13" s="736"/>
    </row>
    <row r="14" spans="1:11" ht="12.75" customHeight="1" x14ac:dyDescent="0.25">
      <c r="A14" s="396" t="s">
        <v>1450</v>
      </c>
      <c r="B14" s="169"/>
      <c r="C14" s="748">
        <v>14834432</v>
      </c>
      <c r="D14" s="745"/>
      <c r="E14" s="733"/>
      <c r="F14" s="733">
        <v>-2552.54</v>
      </c>
      <c r="G14" s="733">
        <v>5226310.3000000007</v>
      </c>
      <c r="H14" s="733"/>
      <c r="I14" s="514">
        <f t="shared" si="3"/>
        <v>5226310.3000000007</v>
      </c>
      <c r="J14" s="552" t="e">
        <f t="shared" si="4"/>
        <v>#DIV/0!</v>
      </c>
      <c r="K14" s="736"/>
    </row>
    <row r="15" spans="1:11" ht="12.75" customHeight="1" x14ac:dyDescent="0.25">
      <c r="A15" s="396" t="s">
        <v>990</v>
      </c>
      <c r="B15" s="169"/>
      <c r="C15" s="748"/>
      <c r="D15" s="745"/>
      <c r="E15" s="733"/>
      <c r="F15" s="733"/>
      <c r="G15" s="733"/>
      <c r="H15" s="733"/>
      <c r="I15" s="514">
        <f t="shared" si="3"/>
        <v>0</v>
      </c>
      <c r="J15" s="552" t="str">
        <f t="shared" si="4"/>
        <v/>
      </c>
      <c r="K15" s="736"/>
    </row>
    <row r="16" spans="1:11" ht="12.75" customHeight="1" x14ac:dyDescent="0.25">
      <c r="A16" s="396" t="s">
        <v>1433</v>
      </c>
      <c r="B16" s="169"/>
      <c r="C16" s="748">
        <v>21904477</v>
      </c>
      <c r="D16" s="745">
        <v>9115575</v>
      </c>
      <c r="E16" s="733">
        <v>9115575</v>
      </c>
      <c r="F16" s="733">
        <v>337819.04</v>
      </c>
      <c r="G16" s="733">
        <v>10493133.259999998</v>
      </c>
      <c r="H16" s="733">
        <f>E16/12*12</f>
        <v>9115575</v>
      </c>
      <c r="I16" s="514">
        <f t="shared" si="3"/>
        <v>1377558.2599999979</v>
      </c>
      <c r="J16" s="552">
        <f t="shared" si="4"/>
        <v>0.15112137851973112</v>
      </c>
      <c r="K16" s="736">
        <f>E16</f>
        <v>9115575</v>
      </c>
    </row>
    <row r="17" spans="1:11" ht="12.75" customHeight="1" x14ac:dyDescent="0.25">
      <c r="A17" s="397" t="str">
        <f>'SC6'!A17</f>
        <v>Provincial Government:</v>
      </c>
      <c r="B17" s="169"/>
      <c r="C17" s="516">
        <f t="shared" ref="C17:I17" si="5">SUM(C18:C28)</f>
        <v>48437135</v>
      </c>
      <c r="D17" s="475">
        <f t="shared" si="5"/>
        <v>66874665</v>
      </c>
      <c r="E17" s="430">
        <f t="shared" si="5"/>
        <v>66874665</v>
      </c>
      <c r="F17" s="430">
        <f t="shared" si="5"/>
        <v>5574548.1699999999</v>
      </c>
      <c r="G17" s="430">
        <f t="shared" si="5"/>
        <v>48007477.280000001</v>
      </c>
      <c r="H17" s="430">
        <f t="shared" si="5"/>
        <v>66874665</v>
      </c>
      <c r="I17" s="430">
        <f t="shared" si="5"/>
        <v>-18867187.719999999</v>
      </c>
      <c r="J17" s="553">
        <f t="shared" si="1"/>
        <v>-0.28212758478864902</v>
      </c>
      <c r="K17" s="513">
        <f>SUM(K18:K28)</f>
        <v>66874665</v>
      </c>
    </row>
    <row r="18" spans="1:11" ht="12.75" customHeight="1" x14ac:dyDescent="0.25">
      <c r="A18" s="396" t="s">
        <v>623</v>
      </c>
      <c r="B18" s="169"/>
      <c r="C18" s="779"/>
      <c r="D18" s="780"/>
      <c r="E18" s="734"/>
      <c r="F18" s="734"/>
      <c r="G18" s="734"/>
      <c r="H18" s="734"/>
      <c r="I18" s="514">
        <f t="shared" ref="I18:I28" si="6">G18-H18</f>
        <v>0</v>
      </c>
      <c r="J18" s="552" t="str">
        <f t="shared" si="1"/>
        <v/>
      </c>
      <c r="K18" s="736"/>
    </row>
    <row r="19" spans="1:11" ht="12.75" customHeight="1" x14ac:dyDescent="0.25">
      <c r="A19" s="396" t="s">
        <v>1452</v>
      </c>
      <c r="B19" s="169"/>
      <c r="C19" s="748"/>
      <c r="D19" s="745"/>
      <c r="E19" s="733"/>
      <c r="F19" s="733"/>
      <c r="G19" s="733"/>
      <c r="H19" s="733"/>
      <c r="I19" s="44">
        <f t="shared" si="6"/>
        <v>0</v>
      </c>
      <c r="J19" s="124" t="str">
        <f t="shared" si="1"/>
        <v/>
      </c>
      <c r="K19" s="735"/>
    </row>
    <row r="20" spans="1:11" ht="12.75" customHeight="1" x14ac:dyDescent="0.25">
      <c r="A20" s="396" t="s">
        <v>771</v>
      </c>
      <c r="B20" s="169"/>
      <c r="C20" s="748"/>
      <c r="D20" s="745"/>
      <c r="E20" s="733"/>
      <c r="F20" s="733"/>
      <c r="G20" s="733"/>
      <c r="H20" s="733"/>
      <c r="I20" s="44">
        <f t="shared" si="6"/>
        <v>0</v>
      </c>
      <c r="J20" s="124" t="str">
        <f t="shared" si="1"/>
        <v/>
      </c>
      <c r="K20" s="735"/>
    </row>
    <row r="21" spans="1:11" ht="12.75" customHeight="1" x14ac:dyDescent="0.25">
      <c r="A21" s="396" t="s">
        <v>1434</v>
      </c>
      <c r="B21" s="169"/>
      <c r="C21" s="748"/>
      <c r="D21" s="745">
        <v>3603000</v>
      </c>
      <c r="E21" s="733">
        <v>3603000</v>
      </c>
      <c r="F21" s="733"/>
      <c r="G21" s="733"/>
      <c r="H21" s="733">
        <f t="shared" ref="H21:H24" si="7">E21/12*12</f>
        <v>3603000</v>
      </c>
      <c r="I21" s="44">
        <f t="shared" si="6"/>
        <v>-3603000</v>
      </c>
      <c r="J21" s="124">
        <f t="shared" si="1"/>
        <v>-1</v>
      </c>
      <c r="K21" s="735">
        <f t="shared" ref="K21:K24" si="8">E21</f>
        <v>3603000</v>
      </c>
    </row>
    <row r="22" spans="1:11" ht="12.75" customHeight="1" x14ac:dyDescent="0.25">
      <c r="A22" s="396" t="s">
        <v>1435</v>
      </c>
      <c r="B22" s="169"/>
      <c r="C22" s="748"/>
      <c r="D22" s="745">
        <v>4264000</v>
      </c>
      <c r="E22" s="733">
        <v>4264000</v>
      </c>
      <c r="F22" s="733"/>
      <c r="G22" s="733"/>
      <c r="H22" s="733">
        <f t="shared" si="7"/>
        <v>4264000</v>
      </c>
      <c r="I22" s="44">
        <f t="shared" si="6"/>
        <v>-4264000</v>
      </c>
      <c r="J22" s="124">
        <f t="shared" si="1"/>
        <v>-1</v>
      </c>
      <c r="K22" s="735">
        <f t="shared" si="8"/>
        <v>4264000</v>
      </c>
    </row>
    <row r="23" spans="1:11" ht="12.75" customHeight="1" x14ac:dyDescent="0.25">
      <c r="A23" s="396" t="s">
        <v>1436</v>
      </c>
      <c r="B23" s="169"/>
      <c r="C23" s="748"/>
      <c r="D23" s="745">
        <v>24079242</v>
      </c>
      <c r="E23" s="733">
        <v>24079242</v>
      </c>
      <c r="F23" s="733"/>
      <c r="G23" s="733"/>
      <c r="H23" s="733">
        <f t="shared" si="7"/>
        <v>24079242</v>
      </c>
      <c r="I23" s="44">
        <f t="shared" si="6"/>
        <v>-24079242</v>
      </c>
      <c r="J23" s="124">
        <f t="shared" si="1"/>
        <v>-1</v>
      </c>
      <c r="K23" s="735">
        <f t="shared" si="8"/>
        <v>24079242</v>
      </c>
    </row>
    <row r="24" spans="1:11" ht="12.75" customHeight="1" x14ac:dyDescent="0.25">
      <c r="A24" s="396" t="s">
        <v>1437</v>
      </c>
      <c r="B24" s="169"/>
      <c r="C24" s="748">
        <v>14582180</v>
      </c>
      <c r="D24" s="745">
        <v>22740423</v>
      </c>
      <c r="E24" s="733">
        <v>22740423</v>
      </c>
      <c r="F24" s="733">
        <v>3862083.25</v>
      </c>
      <c r="G24" s="733">
        <v>34955426.649999999</v>
      </c>
      <c r="H24" s="733">
        <f t="shared" si="7"/>
        <v>22740423</v>
      </c>
      <c r="I24" s="44">
        <f t="shared" si="6"/>
        <v>12215003.649999999</v>
      </c>
      <c r="J24" s="124">
        <f t="shared" si="1"/>
        <v>0.53714935953478082</v>
      </c>
      <c r="K24" s="735">
        <f t="shared" si="8"/>
        <v>22740423</v>
      </c>
    </row>
    <row r="25" spans="1:11" ht="12.75" customHeight="1" x14ac:dyDescent="0.25">
      <c r="A25" s="396" t="s">
        <v>1451</v>
      </c>
      <c r="B25" s="169"/>
      <c r="C25" s="748">
        <v>27665322</v>
      </c>
      <c r="D25" s="745"/>
      <c r="E25" s="733"/>
      <c r="F25" s="733"/>
      <c r="G25" s="733"/>
      <c r="H25" s="733"/>
      <c r="I25" s="44">
        <f t="shared" si="6"/>
        <v>0</v>
      </c>
      <c r="J25" s="124" t="str">
        <f t="shared" si="1"/>
        <v/>
      </c>
      <c r="K25" s="735"/>
    </row>
    <row r="26" spans="1:11" ht="12.75" customHeight="1" x14ac:dyDescent="0.25">
      <c r="A26" s="396" t="s">
        <v>1438</v>
      </c>
      <c r="B26" s="169"/>
      <c r="C26" s="748"/>
      <c r="D26" s="745">
        <v>10200000</v>
      </c>
      <c r="E26" s="733">
        <v>10200000</v>
      </c>
      <c r="F26" s="733">
        <v>301022.38</v>
      </c>
      <c r="G26" s="733">
        <v>9203333.0800000019</v>
      </c>
      <c r="H26" s="733">
        <f t="shared" ref="H26:H28" si="9">E26/12*12</f>
        <v>10200000</v>
      </c>
      <c r="I26" s="44">
        <f t="shared" si="6"/>
        <v>-996666.91999999806</v>
      </c>
      <c r="J26" s="124">
        <f t="shared" si="1"/>
        <v>-9.7712443137254718E-2</v>
      </c>
      <c r="K26" s="735">
        <f t="shared" ref="K26:K28" si="10">E26</f>
        <v>10200000</v>
      </c>
    </row>
    <row r="27" spans="1:11" ht="12.75" customHeight="1" x14ac:dyDescent="0.25">
      <c r="A27" s="396" t="s">
        <v>1439</v>
      </c>
      <c r="B27" s="169"/>
      <c r="C27" s="748">
        <v>242517</v>
      </c>
      <c r="D27" s="745">
        <v>488000</v>
      </c>
      <c r="E27" s="733">
        <v>488000</v>
      </c>
      <c r="F27" s="733"/>
      <c r="G27" s="733"/>
      <c r="H27" s="733">
        <f t="shared" si="9"/>
        <v>488000</v>
      </c>
      <c r="I27" s="44">
        <f t="shared" si="6"/>
        <v>-488000</v>
      </c>
      <c r="J27" s="124">
        <f t="shared" si="1"/>
        <v>-1</v>
      </c>
      <c r="K27" s="735">
        <f t="shared" si="10"/>
        <v>488000</v>
      </c>
    </row>
    <row r="28" spans="1:11" ht="12.75" customHeight="1" x14ac:dyDescent="0.25">
      <c r="A28" s="396" t="s">
        <v>1440</v>
      </c>
      <c r="B28" s="169"/>
      <c r="C28" s="748">
        <v>5947116</v>
      </c>
      <c r="D28" s="745">
        <v>1500000</v>
      </c>
      <c r="E28" s="733">
        <v>1500000</v>
      </c>
      <c r="F28" s="733">
        <v>1411442.54</v>
      </c>
      <c r="G28" s="733">
        <v>3848717.55</v>
      </c>
      <c r="H28" s="733">
        <f t="shared" si="9"/>
        <v>1500000</v>
      </c>
      <c r="I28" s="44">
        <f t="shared" si="6"/>
        <v>2348717.5499999998</v>
      </c>
      <c r="J28" s="124">
        <f t="shared" si="1"/>
        <v>1.5658116999999998</v>
      </c>
      <c r="K28" s="735">
        <f t="shared" si="10"/>
        <v>1500000</v>
      </c>
    </row>
    <row r="29" spans="1:11" ht="12.75" customHeight="1" x14ac:dyDescent="0.25">
      <c r="A29" s="397" t="str">
        <f>'SC6'!A29</f>
        <v>District Municipality:</v>
      </c>
      <c r="B29" s="169"/>
      <c r="C29" s="516">
        <f t="shared" ref="C29:H29" si="11">SUM(C30:C30)</f>
        <v>0</v>
      </c>
      <c r="D29" s="475">
        <f t="shared" si="11"/>
        <v>0</v>
      </c>
      <c r="E29" s="430">
        <f t="shared" si="11"/>
        <v>0</v>
      </c>
      <c r="F29" s="430">
        <f t="shared" si="11"/>
        <v>0</v>
      </c>
      <c r="G29" s="430">
        <f t="shared" si="11"/>
        <v>0</v>
      </c>
      <c r="H29" s="430">
        <f t="shared" si="11"/>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2">SUM(C32:C32)</f>
        <v>0</v>
      </c>
      <c r="D31" s="475">
        <f t="shared" si="12"/>
        <v>0</v>
      </c>
      <c r="E31" s="430">
        <f t="shared" si="12"/>
        <v>0</v>
      </c>
      <c r="F31" s="430">
        <f t="shared" si="12"/>
        <v>0</v>
      </c>
      <c r="G31" s="430">
        <f t="shared" si="12"/>
        <v>0</v>
      </c>
      <c r="H31" s="430">
        <f t="shared" si="12"/>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3">C8+C17+C29+C31</f>
        <v>637128044</v>
      </c>
      <c r="D33" s="74">
        <f t="shared" si="13"/>
        <v>675483240</v>
      </c>
      <c r="E33" s="73">
        <f t="shared" si="13"/>
        <v>764481240</v>
      </c>
      <c r="F33" s="73">
        <f t="shared" si="13"/>
        <v>6841819.1299999999</v>
      </c>
      <c r="G33" s="73">
        <f t="shared" si="13"/>
        <v>751748907.0999999</v>
      </c>
      <c r="H33" s="73">
        <f t="shared" si="13"/>
        <v>764481240</v>
      </c>
      <c r="I33" s="73">
        <f t="shared" si="13"/>
        <v>-12732332.9</v>
      </c>
      <c r="J33" s="304">
        <f t="shared" si="1"/>
        <v>-1.6654866377100373E-2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4">SUM(C37:C44)</f>
        <v>352860137</v>
      </c>
      <c r="D36" s="46">
        <f t="shared" si="14"/>
        <v>255267424.99999985</v>
      </c>
      <c r="E36" s="44">
        <f t="shared" si="14"/>
        <v>255267424.99999985</v>
      </c>
      <c r="F36" s="44">
        <f t="shared" si="14"/>
        <v>67314177.849999994</v>
      </c>
      <c r="G36" s="44">
        <f t="shared" si="14"/>
        <v>428581498.92000002</v>
      </c>
      <c r="H36" s="44">
        <f t="shared" si="14"/>
        <v>255267424.99999985</v>
      </c>
      <c r="I36" s="44">
        <f t="shared" si="14"/>
        <v>173314073.92000017</v>
      </c>
      <c r="J36" s="343">
        <f>IF(I36=0,"",I36/H36)</f>
        <v>0.67895100175825518</v>
      </c>
      <c r="K36" s="144">
        <f t="shared" si="14"/>
        <v>255267424.99999985</v>
      </c>
    </row>
    <row r="37" spans="1:11" ht="12.75" customHeight="1" x14ac:dyDescent="0.25">
      <c r="A37" s="396" t="s">
        <v>1441</v>
      </c>
      <c r="B37" s="169"/>
      <c r="C37" s="779">
        <v>164899849</v>
      </c>
      <c r="D37" s="780">
        <v>187012424.99999985</v>
      </c>
      <c r="E37" s="734">
        <v>187012424.99999985</v>
      </c>
      <c r="F37" s="734">
        <v>6011201.2699999996</v>
      </c>
      <c r="G37" s="734">
        <v>193940409.56000003</v>
      </c>
      <c r="H37" s="734">
        <f>E37/12*12</f>
        <v>187012424.99999985</v>
      </c>
      <c r="I37" s="514">
        <f>G37-H37</f>
        <v>6927984.5600001812</v>
      </c>
      <c r="J37" s="552">
        <f>IF(I37=0,"",I37/H37)</f>
        <v>3.7045584324144169E-2</v>
      </c>
      <c r="K37" s="736">
        <f>E37</f>
        <v>187012424.99999985</v>
      </c>
    </row>
    <row r="38" spans="1:11" ht="12" customHeight="1" x14ac:dyDescent="0.25">
      <c r="A38" s="396" t="s">
        <v>1453</v>
      </c>
      <c r="B38" s="169"/>
      <c r="C38" s="748">
        <v>117251994</v>
      </c>
      <c r="D38" s="745"/>
      <c r="E38" s="733"/>
      <c r="F38" s="733">
        <v>31333110.73</v>
      </c>
      <c r="G38" s="733">
        <v>172906184.95999998</v>
      </c>
      <c r="H38" s="733"/>
      <c r="I38" s="44">
        <f t="shared" ref="I38:I44" si="15">G38-H38</f>
        <v>172906184.95999998</v>
      </c>
      <c r="J38" s="124" t="e">
        <f t="shared" ref="J38:J44" si="16">IF(I38=0,"",I38/H38)</f>
        <v>#DIV/0!</v>
      </c>
      <c r="K38" s="736"/>
    </row>
    <row r="39" spans="1:11" ht="12" customHeight="1" x14ac:dyDescent="0.25">
      <c r="A39" s="396" t="s">
        <v>1001</v>
      </c>
      <c r="B39" s="169"/>
      <c r="C39" s="748">
        <v>9957109</v>
      </c>
      <c r="D39" s="745">
        <v>35000000</v>
      </c>
      <c r="E39" s="733">
        <v>35000000</v>
      </c>
      <c r="F39" s="733">
        <v>13526766.76</v>
      </c>
      <c r="G39" s="733">
        <v>16930753.609999999</v>
      </c>
      <c r="H39" s="733">
        <f>E39/12*12</f>
        <v>35000000</v>
      </c>
      <c r="I39" s="44">
        <f t="shared" si="15"/>
        <v>-18069246.390000001</v>
      </c>
      <c r="J39" s="124">
        <f t="shared" si="16"/>
        <v>-0.51626418257142859</v>
      </c>
      <c r="K39" s="736">
        <f>E39</f>
        <v>35000000</v>
      </c>
    </row>
    <row r="40" spans="1:11" ht="12" customHeight="1" x14ac:dyDescent="0.25">
      <c r="A40" s="396" t="s">
        <v>1454</v>
      </c>
      <c r="B40" s="169"/>
      <c r="C40" s="748"/>
      <c r="D40" s="745"/>
      <c r="E40" s="733"/>
      <c r="F40" s="733"/>
      <c r="G40" s="733"/>
      <c r="H40" s="733"/>
      <c r="I40" s="44">
        <f t="shared" si="15"/>
        <v>0</v>
      </c>
      <c r="J40" s="124" t="str">
        <f t="shared" si="16"/>
        <v/>
      </c>
      <c r="K40" s="736"/>
    </row>
    <row r="41" spans="1:11" ht="12.75" customHeight="1" x14ac:dyDescent="0.25">
      <c r="A41" s="396" t="s">
        <v>1455</v>
      </c>
      <c r="B41" s="169"/>
      <c r="C41" s="748"/>
      <c r="D41" s="745"/>
      <c r="E41" s="733"/>
      <c r="F41" s="733"/>
      <c r="G41" s="733"/>
      <c r="H41" s="733"/>
      <c r="I41" s="44">
        <f t="shared" si="15"/>
        <v>0</v>
      </c>
      <c r="J41" s="124" t="str">
        <f t="shared" si="16"/>
        <v/>
      </c>
      <c r="K41" s="736"/>
    </row>
    <row r="42" spans="1:11" ht="12.75" customHeight="1" x14ac:dyDescent="0.25">
      <c r="A42" s="396" t="s">
        <v>566</v>
      </c>
      <c r="B42" s="169"/>
      <c r="C42" s="748"/>
      <c r="D42" s="745"/>
      <c r="E42" s="733"/>
      <c r="F42" s="733"/>
      <c r="G42" s="733"/>
      <c r="H42" s="733"/>
      <c r="I42" s="44">
        <f t="shared" si="15"/>
        <v>0</v>
      </c>
      <c r="J42" s="124" t="str">
        <f t="shared" si="16"/>
        <v/>
      </c>
      <c r="K42" s="736"/>
    </row>
    <row r="43" spans="1:11" ht="12.75" customHeight="1" x14ac:dyDescent="0.25">
      <c r="A43" s="396" t="s">
        <v>1442</v>
      </c>
      <c r="B43" s="169"/>
      <c r="C43" s="748">
        <v>52751849</v>
      </c>
      <c r="D43" s="745">
        <v>33255000</v>
      </c>
      <c r="E43" s="733">
        <v>33255000</v>
      </c>
      <c r="F43" s="733">
        <v>16443099.09</v>
      </c>
      <c r="G43" s="733">
        <v>44804150.789999999</v>
      </c>
      <c r="H43" s="733">
        <f>E43/12*12</f>
        <v>33255000</v>
      </c>
      <c r="I43" s="44">
        <f t="shared" si="15"/>
        <v>11549150.789999999</v>
      </c>
      <c r="J43" s="124">
        <f t="shared" si="16"/>
        <v>0.34729065674334686</v>
      </c>
      <c r="K43" s="736">
        <f>E43</f>
        <v>33255000</v>
      </c>
    </row>
    <row r="44" spans="1:11" ht="12.75" customHeight="1" x14ac:dyDescent="0.25">
      <c r="A44" s="396" t="s">
        <v>1456</v>
      </c>
      <c r="B44" s="169"/>
      <c r="C44" s="748">
        <v>7999336</v>
      </c>
      <c r="D44" s="745"/>
      <c r="E44" s="733"/>
      <c r="F44" s="733"/>
      <c r="G44" s="733"/>
      <c r="H44" s="733"/>
      <c r="I44" s="44">
        <f t="shared" si="15"/>
        <v>0</v>
      </c>
      <c r="J44" s="124" t="str">
        <f t="shared" si="16"/>
        <v/>
      </c>
      <c r="K44" s="736"/>
    </row>
    <row r="45" spans="1:11" ht="12.75" customHeight="1" x14ac:dyDescent="0.25">
      <c r="A45" s="397" t="str">
        <f>'SC6'!A45</f>
        <v>Provincial Government:</v>
      </c>
      <c r="B45" s="169"/>
      <c r="C45" s="516">
        <f t="shared" ref="C45:H45" si="17">SUM(C46:C57)</f>
        <v>77253612</v>
      </c>
      <c r="D45" s="475">
        <f t="shared" si="17"/>
        <v>270624156</v>
      </c>
      <c r="E45" s="430">
        <f t="shared" si="17"/>
        <v>270624156</v>
      </c>
      <c r="F45" s="430">
        <f t="shared" si="17"/>
        <v>111333319.08999999</v>
      </c>
      <c r="G45" s="430">
        <f t="shared" si="17"/>
        <v>157309705.43000001</v>
      </c>
      <c r="H45" s="430">
        <f t="shared" si="17"/>
        <v>270624156</v>
      </c>
      <c r="I45" s="514">
        <f>G45-H45</f>
        <v>-113314450.56999999</v>
      </c>
      <c r="J45" s="552">
        <f>IF(I45=0,"",I45/H45)</f>
        <v>-0.41871521095847775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8">E50/12*12</f>
        <v>6124156</v>
      </c>
      <c r="I50" s="44"/>
      <c r="J50" s="124"/>
      <c r="K50" s="733">
        <f t="shared" ref="K50:K52" si="19">E50</f>
        <v>6124156</v>
      </c>
    </row>
    <row r="51" spans="1:11" ht="12.75" customHeight="1" x14ac:dyDescent="0.25">
      <c r="A51" s="397" t="s">
        <v>1459</v>
      </c>
      <c r="B51" s="169"/>
      <c r="C51" s="786"/>
      <c r="D51" s="733">
        <v>2500000</v>
      </c>
      <c r="E51" s="733">
        <v>2500000</v>
      </c>
      <c r="F51" s="788">
        <v>135050</v>
      </c>
      <c r="G51" s="788">
        <v>2173163.77</v>
      </c>
      <c r="H51" s="733">
        <f t="shared" si="18"/>
        <v>2500000</v>
      </c>
      <c r="I51" s="44"/>
      <c r="J51" s="124"/>
      <c r="K51" s="733">
        <f t="shared" si="19"/>
        <v>2500000</v>
      </c>
    </row>
    <row r="52" spans="1:11" ht="12.75" customHeight="1" x14ac:dyDescent="0.25">
      <c r="A52" s="397" t="s">
        <v>1439</v>
      </c>
      <c r="B52" s="169"/>
      <c r="C52" s="786"/>
      <c r="D52" s="733">
        <v>774000</v>
      </c>
      <c r="E52" s="733">
        <v>774000</v>
      </c>
      <c r="F52" s="788"/>
      <c r="G52" s="788"/>
      <c r="H52" s="733">
        <f t="shared" si="18"/>
        <v>774000</v>
      </c>
      <c r="I52" s="44"/>
      <c r="J52" s="124"/>
      <c r="K52" s="733">
        <f t="shared" si="19"/>
        <v>774000</v>
      </c>
    </row>
    <row r="53" spans="1:11" ht="12.75" customHeight="1" x14ac:dyDescent="0.25">
      <c r="A53" s="397" t="s">
        <v>1440</v>
      </c>
      <c r="B53" s="169"/>
      <c r="C53" s="786">
        <v>14977028</v>
      </c>
      <c r="D53" s="733"/>
      <c r="E53" s="733"/>
      <c r="F53" s="788">
        <v>98057832.319999993</v>
      </c>
      <c r="G53" s="788">
        <v>105578387.55</v>
      </c>
      <c r="H53" s="733"/>
      <c r="I53" s="44"/>
      <c r="J53" s="124"/>
      <c r="K53" s="733"/>
    </row>
    <row r="54" spans="1:11" ht="12.75" customHeight="1" x14ac:dyDescent="0.25">
      <c r="A54" s="397" t="s">
        <v>1443</v>
      </c>
      <c r="B54" s="169"/>
      <c r="C54" s="786">
        <v>60811409</v>
      </c>
      <c r="D54" s="733">
        <v>244264000</v>
      </c>
      <c r="E54" s="733">
        <v>244264000</v>
      </c>
      <c r="F54" s="788"/>
      <c r="G54" s="788"/>
      <c r="H54" s="733">
        <f t="shared" ref="H54:H55" si="20">E54/12*12</f>
        <v>244264000</v>
      </c>
      <c r="I54" s="44"/>
      <c r="J54" s="124"/>
      <c r="K54" s="733">
        <f t="shared" ref="K54:K55" si="21">E54</f>
        <v>244264000</v>
      </c>
    </row>
    <row r="55" spans="1:11" ht="12.75" customHeight="1" x14ac:dyDescent="0.25">
      <c r="A55" s="397" t="s">
        <v>1445</v>
      </c>
      <c r="B55" s="169"/>
      <c r="C55" s="786"/>
      <c r="D55" s="733">
        <v>6750000</v>
      </c>
      <c r="E55" s="733">
        <v>6750000</v>
      </c>
      <c r="F55" s="733">
        <v>13118440.77</v>
      </c>
      <c r="G55" s="733">
        <v>49415807.109999999</v>
      </c>
      <c r="H55" s="733">
        <f t="shared" si="20"/>
        <v>6750000</v>
      </c>
      <c r="I55" s="44"/>
      <c r="J55" s="124"/>
      <c r="K55" s="733">
        <f t="shared" si="21"/>
        <v>6750000</v>
      </c>
    </row>
    <row r="56" spans="1:11" ht="12.75" customHeight="1" x14ac:dyDescent="0.25">
      <c r="A56" s="397" t="s">
        <v>623</v>
      </c>
      <c r="B56" s="169"/>
      <c r="C56" s="786">
        <v>1065175</v>
      </c>
      <c r="D56" s="733"/>
      <c r="E56" s="788"/>
      <c r="F56" s="788"/>
      <c r="G56" s="788"/>
      <c r="H56" s="788"/>
      <c r="I56" s="44"/>
      <c r="J56" s="124"/>
      <c r="K56" s="789"/>
    </row>
    <row r="57" spans="1:11" ht="12.75" customHeight="1" x14ac:dyDescent="0.25">
      <c r="A57" s="396" t="s">
        <v>1446</v>
      </c>
      <c r="B57" s="169"/>
      <c r="C57" s="748">
        <v>400000</v>
      </c>
      <c r="D57" s="733">
        <v>10212000</v>
      </c>
      <c r="E57" s="733">
        <v>10212000</v>
      </c>
      <c r="F57" s="733">
        <v>21996</v>
      </c>
      <c r="G57" s="733">
        <v>142347</v>
      </c>
      <c r="H57" s="733">
        <f>E57/12*12</f>
        <v>10212000</v>
      </c>
      <c r="I57" s="44">
        <f>G57-H57</f>
        <v>-10069653</v>
      </c>
      <c r="J57" s="124">
        <f t="shared" ref="J57:J62" si="22">IF(I57=0,"",I57/H57)</f>
        <v>-0.98606081081081076</v>
      </c>
      <c r="K57" s="735">
        <f>E57</f>
        <v>10212000</v>
      </c>
    </row>
    <row r="58" spans="1:11" ht="12.75" customHeight="1" x14ac:dyDescent="0.25">
      <c r="A58" s="397" t="str">
        <f>'SC6'!A57</f>
        <v>District Municipality:</v>
      </c>
      <c r="B58" s="169"/>
      <c r="C58" s="516">
        <f t="shared" ref="C58:H58" si="23">SUM(C59:C59)</f>
        <v>0</v>
      </c>
      <c r="D58" s="475">
        <f t="shared" si="23"/>
        <v>0</v>
      </c>
      <c r="E58" s="430">
        <f t="shared" si="23"/>
        <v>0</v>
      </c>
      <c r="F58" s="430">
        <f t="shared" si="23"/>
        <v>0</v>
      </c>
      <c r="G58" s="430">
        <f t="shared" si="23"/>
        <v>0</v>
      </c>
      <c r="H58" s="430">
        <f t="shared" si="23"/>
        <v>0</v>
      </c>
      <c r="I58" s="514">
        <f>G58-H58</f>
        <v>0</v>
      </c>
      <c r="J58" s="552" t="str">
        <f t="shared" si="22"/>
        <v/>
      </c>
      <c r="K58" s="513">
        <f>SUM(K59:K59)</f>
        <v>0</v>
      </c>
    </row>
    <row r="59" spans="1:11" ht="12.75" customHeight="1" x14ac:dyDescent="0.25">
      <c r="A59" s="397"/>
      <c r="B59" s="169"/>
      <c r="C59" s="783"/>
      <c r="D59" s="784"/>
      <c r="E59" s="737"/>
      <c r="F59" s="737"/>
      <c r="G59" s="737"/>
      <c r="H59" s="737"/>
      <c r="I59" s="514">
        <f>G59-H59</f>
        <v>0</v>
      </c>
      <c r="J59" s="552" t="str">
        <f t="shared" si="22"/>
        <v/>
      </c>
      <c r="K59" s="738"/>
    </row>
    <row r="60" spans="1:11" ht="12.75" customHeight="1" x14ac:dyDescent="0.25">
      <c r="A60" s="397" t="str">
        <f>'SC6'!A59</f>
        <v>Other grant providers:</v>
      </c>
      <c r="B60" s="169"/>
      <c r="C60" s="516">
        <f t="shared" ref="C60:H60" si="24">SUM(C61:C61)</f>
        <v>0</v>
      </c>
      <c r="D60" s="475">
        <f t="shared" si="24"/>
        <v>0</v>
      </c>
      <c r="E60" s="430">
        <f t="shared" si="24"/>
        <v>0</v>
      </c>
      <c r="F60" s="430">
        <f t="shared" si="24"/>
        <v>0</v>
      </c>
      <c r="G60" s="430">
        <f t="shared" si="24"/>
        <v>0</v>
      </c>
      <c r="H60" s="430">
        <f t="shared" si="24"/>
        <v>0</v>
      </c>
      <c r="I60" s="514">
        <f>G60-H60</f>
        <v>0</v>
      </c>
      <c r="J60" s="552" t="str">
        <f t="shared" si="22"/>
        <v/>
      </c>
      <c r="K60" s="513">
        <f>SUM(K61:K61)</f>
        <v>0</v>
      </c>
    </row>
    <row r="61" spans="1:11" ht="12.75" customHeight="1" x14ac:dyDescent="0.25">
      <c r="A61" s="397"/>
      <c r="B61" s="169"/>
      <c r="C61" s="783"/>
      <c r="D61" s="784"/>
      <c r="E61" s="737"/>
      <c r="F61" s="737"/>
      <c r="G61" s="737"/>
      <c r="H61" s="737"/>
      <c r="I61" s="514">
        <f>G61-H61</f>
        <v>0</v>
      </c>
      <c r="J61" s="552" t="str">
        <f t="shared" si="22"/>
        <v/>
      </c>
      <c r="K61" s="738"/>
    </row>
    <row r="62" spans="1:11" ht="12.75" customHeight="1" x14ac:dyDescent="0.25">
      <c r="A62" s="557" t="s">
        <v>60</v>
      </c>
      <c r="B62" s="233"/>
      <c r="C62" s="243">
        <f t="shared" ref="C62:I62" si="25">C36+C45+C58+C60</f>
        <v>430113749</v>
      </c>
      <c r="D62" s="74">
        <f t="shared" si="25"/>
        <v>525891580.99999988</v>
      </c>
      <c r="E62" s="73">
        <f t="shared" si="25"/>
        <v>525891580.99999988</v>
      </c>
      <c r="F62" s="73">
        <f t="shared" si="25"/>
        <v>178647496.94</v>
      </c>
      <c r="G62" s="73">
        <f t="shared" si="25"/>
        <v>585891204.35000002</v>
      </c>
      <c r="H62" s="73">
        <f t="shared" si="25"/>
        <v>525891580.99999988</v>
      </c>
      <c r="I62" s="73">
        <f t="shared" si="25"/>
        <v>59999623.350000173</v>
      </c>
      <c r="J62" s="304">
        <f t="shared" si="22"/>
        <v>0.11409124146066181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6">C33+C62</f>
        <v>1067241793</v>
      </c>
      <c r="D64" s="56">
        <f t="shared" si="26"/>
        <v>1201374821</v>
      </c>
      <c r="E64" s="55">
        <f t="shared" si="26"/>
        <v>1290372821</v>
      </c>
      <c r="F64" s="55">
        <f t="shared" si="26"/>
        <v>185489316.06999999</v>
      </c>
      <c r="G64" s="55">
        <f t="shared" si="26"/>
        <v>1337640111.4499998</v>
      </c>
      <c r="H64" s="55">
        <f t="shared" si="26"/>
        <v>1290372821</v>
      </c>
      <c r="I64" s="55">
        <f t="shared" si="26"/>
        <v>47267290.450000174</v>
      </c>
      <c r="J64" s="290">
        <f>IF(I64=0,"",I64/H64)</f>
        <v>3.6630723834813451E-2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J38" sqref="J38"/>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6" t="str">
        <f>muni&amp; " - "&amp;S71T&amp; " - "&amp;Head57</f>
        <v>KZN225 Msunduzi - Supporting Table SC7(2) Monthly Budget Statement - Expenditure against approved rollovers - Q4 Fourth Quarter</v>
      </c>
      <c r="B1" s="1056"/>
      <c r="C1" s="1056"/>
      <c r="D1" s="1056"/>
      <c r="E1" s="1056"/>
      <c r="F1" s="1056"/>
      <c r="G1" s="1056"/>
    </row>
    <row r="2" spans="1:7" ht="21.75" customHeight="1" x14ac:dyDescent="0.25">
      <c r="A2" s="1045" t="str">
        <f>desc</f>
        <v>Description</v>
      </c>
      <c r="B2" s="1038" t="str">
        <f>head27</f>
        <v>Ref</v>
      </c>
      <c r="C2" s="1040" t="str">
        <f>Head2</f>
        <v>Budget Year 2020/21</v>
      </c>
      <c r="D2" s="1041"/>
      <c r="E2" s="1041"/>
      <c r="F2" s="1041"/>
      <c r="G2" s="1042"/>
    </row>
    <row r="3" spans="1:7" ht="39.75" customHeight="1" x14ac:dyDescent="0.25">
      <c r="A3" s="1046"/>
      <c r="B3" s="1049"/>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G14" sqref="G14"/>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"&amp;S71N&amp; " - "&amp;Head57</f>
        <v>KZN225 Msunduzi - Supporting Table SC8 Monthly Budget Statement - councillor and staff benefits  - Q4 Fourth Quarter</v>
      </c>
      <c r="B1" s="1056"/>
      <c r="C1" s="1056"/>
      <c r="D1" s="1056"/>
      <c r="E1" s="1056"/>
      <c r="F1" s="1056"/>
      <c r="G1" s="1056"/>
      <c r="H1" s="1056"/>
      <c r="I1" s="1056"/>
      <c r="J1" s="1056"/>
      <c r="K1" s="1056"/>
    </row>
    <row r="2" spans="1:11" x14ac:dyDescent="0.25">
      <c r="A2" s="1045" t="s">
        <v>650</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8876792</v>
      </c>
      <c r="D7" s="745">
        <v>15792288.894999994</v>
      </c>
      <c r="E7" s="733">
        <v>15792288.894999994</v>
      </c>
      <c r="F7" s="733">
        <v>3209808.1799999997</v>
      </c>
      <c r="G7" s="733">
        <v>35265667.219999999</v>
      </c>
      <c r="H7" s="733">
        <f>E7/12*12</f>
        <v>15792288.894999992</v>
      </c>
      <c r="I7" s="44">
        <f t="shared" ref="I7:I14" si="0">G7-H7</f>
        <v>19473378.325000007</v>
      </c>
      <c r="J7" s="330">
        <f t="shared" ref="J7:J14" si="1">IF(I7=0,"",I7/H7)</f>
        <v>1.2330941039943544</v>
      </c>
      <c r="K7" s="735">
        <f>E7</f>
        <v>15792288.894999994</v>
      </c>
    </row>
    <row r="8" spans="1:11" ht="12.75" customHeight="1" x14ac:dyDescent="0.25">
      <c r="A8" s="518" t="s">
        <v>1048</v>
      </c>
      <c r="B8" s="169"/>
      <c r="C8" s="748">
        <v>4015593</v>
      </c>
      <c r="D8" s="745">
        <v>6273530.0123999976</v>
      </c>
      <c r="E8" s="733">
        <v>6273530.0123999976</v>
      </c>
      <c r="F8" s="733">
        <v>351294.75</v>
      </c>
      <c r="G8" s="733">
        <v>4521779.1499999994</v>
      </c>
      <c r="H8" s="733">
        <f t="shared" ref="H8:H12" si="2">E8/12*12</f>
        <v>6273530.0123999976</v>
      </c>
      <c r="I8" s="44">
        <f t="shared" si="0"/>
        <v>-1751750.8623999981</v>
      </c>
      <c r="J8" s="330">
        <f t="shared" si="1"/>
        <v>-0.27922889648053972</v>
      </c>
      <c r="K8" s="735">
        <f t="shared" ref="K8:K12" si="3">E8</f>
        <v>6273530.0123999976</v>
      </c>
    </row>
    <row r="9" spans="1:11" ht="12.75" customHeight="1" x14ac:dyDescent="0.25">
      <c r="A9" s="518" t="s">
        <v>427</v>
      </c>
      <c r="B9" s="169"/>
      <c r="C9" s="748">
        <v>1690588</v>
      </c>
      <c r="D9" s="745">
        <v>10528192.964839995</v>
      </c>
      <c r="E9" s="733">
        <v>10528192.964839995</v>
      </c>
      <c r="F9" s="733">
        <v>164395.47</v>
      </c>
      <c r="G9" s="733">
        <v>1936452.08</v>
      </c>
      <c r="H9" s="733">
        <f t="shared" si="2"/>
        <v>10528192.964839995</v>
      </c>
      <c r="I9" s="44">
        <f t="shared" si="0"/>
        <v>-8591740.8848399948</v>
      </c>
      <c r="J9" s="330">
        <f t="shared" si="1"/>
        <v>-0.81606985296840728</v>
      </c>
      <c r="K9" s="735">
        <f t="shared" si="3"/>
        <v>10528192.964839995</v>
      </c>
    </row>
    <row r="10" spans="1:11" ht="12.75" customHeight="1" x14ac:dyDescent="0.25">
      <c r="A10" s="518" t="s">
        <v>1049</v>
      </c>
      <c r="B10" s="169"/>
      <c r="C10" s="748">
        <v>5587712</v>
      </c>
      <c r="D10" s="745">
        <v>10528194.069359997</v>
      </c>
      <c r="E10" s="733">
        <v>10528194.069359997</v>
      </c>
      <c r="F10" s="733">
        <v>491023.59</v>
      </c>
      <c r="G10" s="733">
        <v>6323035.9500000002</v>
      </c>
      <c r="H10" s="733">
        <f t="shared" si="2"/>
        <v>10528194.069359997</v>
      </c>
      <c r="I10" s="44">
        <f>G10-H10</f>
        <v>-4205158.1193599971</v>
      </c>
      <c r="J10" s="330">
        <f>IF(I10=0,"",I10/H10)</f>
        <v>-0.39941875041971242</v>
      </c>
      <c r="K10" s="735">
        <f t="shared" si="3"/>
        <v>10528194.069359997</v>
      </c>
    </row>
    <row r="11" spans="1:11" ht="12.75" customHeight="1" x14ac:dyDescent="0.25">
      <c r="A11" s="39" t="s">
        <v>1050</v>
      </c>
      <c r="B11" s="169"/>
      <c r="C11" s="748">
        <v>2068187</v>
      </c>
      <c r="D11" s="745">
        <v>5264098.1391999982</v>
      </c>
      <c r="E11" s="733">
        <v>5264098.1391999982</v>
      </c>
      <c r="F11" s="733">
        <v>227900</v>
      </c>
      <c r="G11" s="733">
        <v>3371524.09</v>
      </c>
      <c r="H11" s="733">
        <f t="shared" si="2"/>
        <v>5264098.1391999982</v>
      </c>
      <c r="I11" s="44">
        <f>G11-H11</f>
        <v>-1892574.0491999984</v>
      </c>
      <c r="J11" s="330">
        <f>IF(I11=0,"",I11/H11)</f>
        <v>-0.35952484151209591</v>
      </c>
      <c r="K11" s="735">
        <f t="shared" si="3"/>
        <v>5264098.1391999982</v>
      </c>
    </row>
    <row r="12" spans="1:11" ht="12.75" customHeight="1" x14ac:dyDescent="0.25">
      <c r="A12" s="39" t="s">
        <v>1051</v>
      </c>
      <c r="B12" s="169"/>
      <c r="C12" s="748">
        <v>135053</v>
      </c>
      <c r="D12" s="745">
        <v>5264097.0346799986</v>
      </c>
      <c r="E12" s="733">
        <v>5264097.0346799986</v>
      </c>
      <c r="F12" s="733">
        <v>11074.34</v>
      </c>
      <c r="G12" s="733">
        <v>132892.07999999999</v>
      </c>
      <c r="H12" s="733">
        <f t="shared" si="2"/>
        <v>5264097.0346799986</v>
      </c>
      <c r="I12" s="44">
        <f>G12-H12</f>
        <v>-5131204.9546799986</v>
      </c>
      <c r="J12" s="330">
        <f>IF(I12=0,"",I12/H12)</f>
        <v>-0.9747550094300117</v>
      </c>
      <c r="K12" s="735">
        <f t="shared" si="3"/>
        <v>5264097.0346799986</v>
      </c>
    </row>
    <row r="13" spans="1:11" ht="12.75" customHeight="1" x14ac:dyDescent="0.25">
      <c r="A13" s="39" t="s">
        <v>1052</v>
      </c>
      <c r="B13" s="169"/>
      <c r="C13" s="748">
        <v>21385397</v>
      </c>
      <c r="D13" s="745"/>
      <c r="E13" s="733"/>
      <c r="F13" s="733">
        <v>-424606.81</v>
      </c>
      <c r="G13" s="733">
        <v>89896.560000000012</v>
      </c>
      <c r="H13" s="733"/>
      <c r="I13" s="44">
        <f t="shared" si="0"/>
        <v>89896.560000000012</v>
      </c>
      <c r="J13" s="330" t="e">
        <f t="shared" si="1"/>
        <v>#DIV/0!</v>
      </c>
      <c r="K13" s="735"/>
    </row>
    <row r="14" spans="1:11" ht="12.75" customHeight="1" x14ac:dyDescent="0.25">
      <c r="A14" s="87" t="s">
        <v>428</v>
      </c>
      <c r="B14" s="169"/>
      <c r="C14" s="516">
        <f t="shared" ref="C14:K14" si="4">SUM(C7:C13)</f>
        <v>43759322</v>
      </c>
      <c r="D14" s="475">
        <f t="shared" si="4"/>
        <v>53650401.115479983</v>
      </c>
      <c r="E14" s="430">
        <f t="shared" si="4"/>
        <v>53650401.115479983</v>
      </c>
      <c r="F14" s="430">
        <f t="shared" si="4"/>
        <v>4030889.52</v>
      </c>
      <c r="G14" s="430">
        <f t="shared" si="4"/>
        <v>51641247.129999995</v>
      </c>
      <c r="H14" s="430">
        <f t="shared" si="4"/>
        <v>53650401.115479983</v>
      </c>
      <c r="I14" s="430">
        <f t="shared" si="0"/>
        <v>-2009153.9854799882</v>
      </c>
      <c r="J14" s="431">
        <f t="shared" si="1"/>
        <v>-3.7449002126850421E-2</v>
      </c>
      <c r="K14" s="513">
        <f t="shared" si="4"/>
        <v>53650401.115479983</v>
      </c>
    </row>
    <row r="15" spans="1:11" ht="12.75" customHeight="1" x14ac:dyDescent="0.25">
      <c r="A15" s="565" t="s">
        <v>722</v>
      </c>
      <c r="B15" s="169">
        <v>4</v>
      </c>
      <c r="C15" s="173"/>
      <c r="D15" s="303">
        <f>IF(D14=0,"",(D14/C14)-1)</f>
        <v>0.22603364639607504</v>
      </c>
      <c r="E15" s="303">
        <f>IF(E14=0,"",(E14/C14)-1)</f>
        <v>0.22603364639607504</v>
      </c>
      <c r="F15" s="303"/>
      <c r="G15" s="303"/>
      <c r="H15" s="303"/>
      <c r="I15" s="303"/>
      <c r="J15" s="344"/>
      <c r="K15" s="312">
        <f>IF(K14=0,"",(K14/C14)-1)</f>
        <v>0.22603364639607504</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6259763</v>
      </c>
      <c r="D18" s="745">
        <v>10640389.780800002</v>
      </c>
      <c r="E18" s="733">
        <v>10640389.780800002</v>
      </c>
      <c r="F18" s="733">
        <v>428675.74000000005</v>
      </c>
      <c r="G18" s="733">
        <v>4691847.1999999993</v>
      </c>
      <c r="H18" s="733">
        <f t="shared" ref="H18:H20" si="5">E18/12*12</f>
        <v>10640389.780800002</v>
      </c>
      <c r="I18" s="44">
        <f t="shared" ref="I18:I30" si="6">G18-H18</f>
        <v>-5948542.5808000024</v>
      </c>
      <c r="J18" s="330">
        <f t="shared" ref="J18:J29" si="7">IF(I18=0,"",I18/H18)</f>
        <v>-0.55905307073748567</v>
      </c>
      <c r="K18" s="735">
        <f t="shared" ref="K18:K25" si="8">E18</f>
        <v>10640389.780800002</v>
      </c>
    </row>
    <row r="19" spans="1:11" ht="12.75" customHeight="1" x14ac:dyDescent="0.25">
      <c r="A19" s="39" t="s">
        <v>1048</v>
      </c>
      <c r="B19" s="169"/>
      <c r="C19" s="748">
        <v>600</v>
      </c>
      <c r="D19" s="745">
        <v>1458021.1247999999</v>
      </c>
      <c r="E19" s="733">
        <v>1458021.1247999999</v>
      </c>
      <c r="F19" s="733">
        <v>48939.200000000012</v>
      </c>
      <c r="G19" s="733">
        <v>586588.80000000005</v>
      </c>
      <c r="H19" s="733">
        <f t="shared" si="5"/>
        <v>1458021.1247999999</v>
      </c>
      <c r="I19" s="44">
        <f t="shared" si="6"/>
        <v>-871432.32479999983</v>
      </c>
      <c r="J19" s="330">
        <f t="shared" si="7"/>
        <v>-0.59768154931193895</v>
      </c>
      <c r="K19" s="735">
        <f t="shared" si="8"/>
        <v>1458021.1247999999</v>
      </c>
    </row>
    <row r="20" spans="1:11" ht="12.75" customHeight="1" x14ac:dyDescent="0.25">
      <c r="A20" s="39" t="s">
        <v>427</v>
      </c>
      <c r="B20" s="169"/>
      <c r="C20" s="748">
        <v>757757</v>
      </c>
      <c r="D20" s="745">
        <v>160334.42939999999</v>
      </c>
      <c r="E20" s="733">
        <v>160334.42939999999</v>
      </c>
      <c r="F20" s="733">
        <v>3015.6</v>
      </c>
      <c r="G20" s="733">
        <v>35409.599999999991</v>
      </c>
      <c r="H20" s="733">
        <f t="shared" si="5"/>
        <v>160334.42939999999</v>
      </c>
      <c r="I20" s="44">
        <f t="shared" si="6"/>
        <v>-124924.8294</v>
      </c>
      <c r="J20" s="330">
        <f t="shared" si="7"/>
        <v>-0.77915161370824082</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v>640163</v>
      </c>
      <c r="D22" s="745">
        <v>665728.85879999993</v>
      </c>
      <c r="E22" s="733">
        <v>665728.85879999993</v>
      </c>
      <c r="F22" s="733">
        <v>312807.71000000002</v>
      </c>
      <c r="G22" s="733">
        <v>663145.32999999996</v>
      </c>
      <c r="H22" s="733">
        <f t="shared" ref="H22:H25" si="9">E22/12*12</f>
        <v>665728.85879999993</v>
      </c>
      <c r="I22" s="44">
        <f>G22-H22</f>
        <v>-2583.5287999999709</v>
      </c>
      <c r="J22" s="330">
        <f>IF(I22=0,"",I22/H22)</f>
        <v>-3.8807523000533189E-3</v>
      </c>
      <c r="K22" s="735">
        <f t="shared" si="8"/>
        <v>665728.85879999993</v>
      </c>
    </row>
    <row r="23" spans="1:11" ht="12.75" customHeight="1" x14ac:dyDescent="0.25">
      <c r="A23" s="39" t="s">
        <v>1049</v>
      </c>
      <c r="B23" s="169"/>
      <c r="C23" s="748">
        <v>815849</v>
      </c>
      <c r="D23" s="745">
        <v>1278372.5370000002</v>
      </c>
      <c r="E23" s="733">
        <v>1278372.5370000002</v>
      </c>
      <c r="F23" s="733">
        <v>27479.54</v>
      </c>
      <c r="G23" s="733">
        <v>329754.47999999992</v>
      </c>
      <c r="H23" s="733">
        <f t="shared" si="9"/>
        <v>1278372.5370000002</v>
      </c>
      <c r="I23" s="44">
        <f>G23-H23</f>
        <v>-948618.05700000026</v>
      </c>
      <c r="J23" s="330">
        <f>IF(I23=0,"",I23/H23)</f>
        <v>-0.74205134226847058</v>
      </c>
      <c r="K23" s="735">
        <f t="shared" si="8"/>
        <v>1278372.5370000002</v>
      </c>
    </row>
    <row r="24" spans="1:11" ht="12.75" customHeight="1" x14ac:dyDescent="0.25">
      <c r="A24" s="39" t="s">
        <v>1050</v>
      </c>
      <c r="B24" s="169"/>
      <c r="C24" s="748">
        <v>88000</v>
      </c>
      <c r="D24" s="745">
        <v>111150.72719999999</v>
      </c>
      <c r="E24" s="733">
        <v>111150.72719999999</v>
      </c>
      <c r="F24" s="733">
        <v>2350</v>
      </c>
      <c r="G24" s="733">
        <v>28200</v>
      </c>
      <c r="H24" s="733">
        <f t="shared" si="9"/>
        <v>111150.72719999999</v>
      </c>
      <c r="I24" s="44">
        <f>G24-H24</f>
        <v>-82950.727199999994</v>
      </c>
      <c r="J24" s="330">
        <f>IF(I24=0,"",I24/H24)</f>
        <v>-0.74629045881761891</v>
      </c>
      <c r="K24" s="735">
        <f t="shared" si="8"/>
        <v>111150.72719999999</v>
      </c>
    </row>
    <row r="25" spans="1:11" ht="12.75" customHeight="1" x14ac:dyDescent="0.25">
      <c r="A25" s="39" t="s">
        <v>1051</v>
      </c>
      <c r="B25" s="169"/>
      <c r="C25" s="748">
        <v>261343</v>
      </c>
      <c r="D25" s="745">
        <v>756254.19959999993</v>
      </c>
      <c r="E25" s="733">
        <v>756254.19959999993</v>
      </c>
      <c r="F25" s="733">
        <v>15964.51</v>
      </c>
      <c r="G25" s="733">
        <v>191574.12</v>
      </c>
      <c r="H25" s="733">
        <f t="shared" si="9"/>
        <v>756254.19959999993</v>
      </c>
      <c r="I25" s="44">
        <f>G25-H25</f>
        <v>-564680.07959999994</v>
      </c>
      <c r="J25" s="330">
        <f>IF(I25=0,"",I25/H25)</f>
        <v>-0.74668025631946522</v>
      </c>
      <c r="K25" s="735">
        <f t="shared" si="8"/>
        <v>756254.19959999993</v>
      </c>
    </row>
    <row r="26" spans="1:11" ht="12.75" customHeight="1" x14ac:dyDescent="0.25">
      <c r="A26" s="39" t="s">
        <v>1052</v>
      </c>
      <c r="B26" s="169"/>
      <c r="C26" s="748">
        <v>72906</v>
      </c>
      <c r="D26" s="745"/>
      <c r="E26" s="733"/>
      <c r="F26" s="733">
        <v>88838.65</v>
      </c>
      <c r="G26" s="733">
        <v>88838.65</v>
      </c>
      <c r="H26" s="733"/>
      <c r="I26" s="44">
        <f t="shared" si="6"/>
        <v>88838.65</v>
      </c>
      <c r="J26" s="330" t="e">
        <f t="shared" si="7"/>
        <v>#DIV/0!</v>
      </c>
      <c r="K26" s="735"/>
    </row>
    <row r="27" spans="1:11" ht="12.75" customHeight="1" x14ac:dyDescent="0.25">
      <c r="A27" s="39" t="s">
        <v>1053</v>
      </c>
      <c r="B27" s="169"/>
      <c r="C27" s="748">
        <v>53553</v>
      </c>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8949934</v>
      </c>
      <c r="D30" s="475">
        <f t="shared" si="10"/>
        <v>15070251.657600002</v>
      </c>
      <c r="E30" s="430">
        <f t="shared" si="10"/>
        <v>15070251.657600002</v>
      </c>
      <c r="F30" s="430">
        <f>SUM(F18:F29)</f>
        <v>928070.95000000007</v>
      </c>
      <c r="G30" s="430">
        <f>SUM(G18:G29)</f>
        <v>6615358.1799999988</v>
      </c>
      <c r="H30" s="430">
        <f>SUM(H18:H29)</f>
        <v>15070251.657600002</v>
      </c>
      <c r="I30" s="430">
        <f t="shared" si="6"/>
        <v>-8454893.4776000045</v>
      </c>
      <c r="J30" s="431">
        <f>IF(I30=0,"",I30/H30)</f>
        <v>-0.56103200329346592</v>
      </c>
      <c r="K30" s="513">
        <f t="shared" si="10"/>
        <v>15070251.657600002</v>
      </c>
    </row>
    <row r="31" spans="1:11" ht="12.75" customHeight="1" x14ac:dyDescent="0.25">
      <c r="A31" s="565" t="s">
        <v>722</v>
      </c>
      <c r="B31" s="169">
        <v>4</v>
      </c>
      <c r="C31" s="173"/>
      <c r="D31" s="303">
        <f>IF(D30=0,"",(D30/C30)-1)</f>
        <v>0.68383941798900438</v>
      </c>
      <c r="E31" s="303">
        <f>IF(E30=0,"",(E30/C30)-1)</f>
        <v>0.68383941798900438</v>
      </c>
      <c r="F31" s="303"/>
      <c r="G31" s="303"/>
      <c r="H31" s="303"/>
      <c r="I31" s="303"/>
      <c r="J31" s="344"/>
      <c r="K31" s="312">
        <f>IF(K30=0,"",(K30/C30)-1)</f>
        <v>0.68383941798900438</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740832516.99999988</v>
      </c>
      <c r="D34" s="745">
        <v>904436295.83980572</v>
      </c>
      <c r="E34" s="733">
        <v>904436295.83980572</v>
      </c>
      <c r="F34" s="733">
        <v>37821287.020000003</v>
      </c>
      <c r="G34" s="733">
        <v>409526245.10000002</v>
      </c>
      <c r="H34" s="733">
        <f t="shared" ref="H34:H42" si="11">E34/12*12</f>
        <v>904436295.83980572</v>
      </c>
      <c r="I34" s="44">
        <f t="shared" ref="I34:I46" si="12">G34-H34</f>
        <v>-494910050.7398057</v>
      </c>
      <c r="J34" s="330">
        <f t="shared" ref="J34:J45" si="13">IF(I34=0,"",I34/H34)</f>
        <v>-0.54720277482922297</v>
      </c>
      <c r="K34" s="735">
        <f t="shared" ref="K34:K42" si="14">E34</f>
        <v>904436295.83980572</v>
      </c>
    </row>
    <row r="35" spans="1:11" ht="12.75" customHeight="1" x14ac:dyDescent="0.25">
      <c r="A35" s="518" t="s">
        <v>1048</v>
      </c>
      <c r="B35" s="169"/>
      <c r="C35" s="748">
        <v>160019109</v>
      </c>
      <c r="D35" s="745">
        <v>188647083.87682125</v>
      </c>
      <c r="E35" s="733">
        <v>188647083.87682125</v>
      </c>
      <c r="F35" s="733">
        <v>6243183.8600000031</v>
      </c>
      <c r="G35" s="733">
        <v>74345018.180000007</v>
      </c>
      <c r="H35" s="733">
        <f t="shared" si="11"/>
        <v>188647083.87682125</v>
      </c>
      <c r="I35" s="44">
        <f t="shared" si="12"/>
        <v>-114302065.69682124</v>
      </c>
      <c r="J35" s="330">
        <f t="shared" si="13"/>
        <v>-0.60590422787269682</v>
      </c>
      <c r="K35" s="735">
        <f t="shared" si="14"/>
        <v>188647083.87682125</v>
      </c>
    </row>
    <row r="36" spans="1:11" ht="12.75" customHeight="1" x14ac:dyDescent="0.25">
      <c r="A36" s="518" t="s">
        <v>427</v>
      </c>
      <c r="B36" s="169"/>
      <c r="C36" s="748">
        <v>59601206</v>
      </c>
      <c r="D36" s="745">
        <v>70300830.27188544</v>
      </c>
      <c r="E36" s="733">
        <v>70300830.27188544</v>
      </c>
      <c r="F36" s="733">
        <v>73576601.919999987</v>
      </c>
      <c r="G36" s="733">
        <v>107643436.60000002</v>
      </c>
      <c r="H36" s="733">
        <f t="shared" si="11"/>
        <v>70300830.27188544</v>
      </c>
      <c r="I36" s="44">
        <f t="shared" si="12"/>
        <v>37342606.328114584</v>
      </c>
      <c r="J36" s="330">
        <f t="shared" si="13"/>
        <v>0.5311830057154896</v>
      </c>
      <c r="K36" s="735">
        <f t="shared" si="14"/>
        <v>70300830.27188544</v>
      </c>
    </row>
    <row r="37" spans="1:11" ht="12.75" customHeight="1" x14ac:dyDescent="0.25">
      <c r="A37" s="518" t="s">
        <v>539</v>
      </c>
      <c r="B37" s="169"/>
      <c r="C37" s="748">
        <v>109897994</v>
      </c>
      <c r="D37" s="745">
        <v>73644368.523901194</v>
      </c>
      <c r="E37" s="733">
        <v>73644368.523901194</v>
      </c>
      <c r="F37" s="733">
        <v>51909604.630000055</v>
      </c>
      <c r="G37" s="733">
        <v>603776040.75999999</v>
      </c>
      <c r="H37" s="733">
        <f t="shared" si="11"/>
        <v>73644368.523901194</v>
      </c>
      <c r="I37" s="44">
        <f t="shared" si="12"/>
        <v>530131672.23609877</v>
      </c>
      <c r="J37" s="330">
        <f t="shared" si="13"/>
        <v>7.198536464659143</v>
      </c>
      <c r="K37" s="735">
        <f t="shared" si="14"/>
        <v>73644368.523901194</v>
      </c>
    </row>
    <row r="38" spans="1:11" ht="12.75" customHeight="1" x14ac:dyDescent="0.25">
      <c r="A38" s="518" t="s">
        <v>429</v>
      </c>
      <c r="B38" s="169"/>
      <c r="C38" s="748">
        <v>60827252</v>
      </c>
      <c r="D38" s="745">
        <v>70366153.174669325</v>
      </c>
      <c r="E38" s="733">
        <v>70366153.174669325</v>
      </c>
      <c r="F38" s="733">
        <v>68960.17</v>
      </c>
      <c r="G38" s="733">
        <v>32161438.5</v>
      </c>
      <c r="H38" s="733">
        <f t="shared" si="11"/>
        <v>70366153.174669325</v>
      </c>
      <c r="I38" s="44">
        <f t="shared" si="12"/>
        <v>-38204714.674669325</v>
      </c>
      <c r="J38" s="330">
        <f t="shared" si="13"/>
        <v>-0.54294164098801989</v>
      </c>
      <c r="K38" s="735">
        <f t="shared" si="14"/>
        <v>70366153.174669325</v>
      </c>
    </row>
    <row r="39" spans="1:11" ht="12.75" customHeight="1" x14ac:dyDescent="0.25">
      <c r="A39" s="518" t="s">
        <v>1049</v>
      </c>
      <c r="B39" s="169"/>
      <c r="C39" s="748">
        <v>26856168</v>
      </c>
      <c r="D39" s="745">
        <v>24659111.788440011</v>
      </c>
      <c r="E39" s="733">
        <v>24659111.788440011</v>
      </c>
      <c r="F39" s="733">
        <v>1566774.7800000003</v>
      </c>
      <c r="G39" s="733">
        <v>18434815.899999995</v>
      </c>
      <c r="H39" s="733">
        <f t="shared" si="11"/>
        <v>24659111.788440011</v>
      </c>
      <c r="I39" s="44">
        <f>G39-H39</f>
        <v>-6224295.8884400167</v>
      </c>
      <c r="J39" s="330">
        <f>IF(I39=0,"",I39/H39)</f>
        <v>-0.25241362875681173</v>
      </c>
      <c r="K39" s="735">
        <f t="shared" si="14"/>
        <v>24659111.788440011</v>
      </c>
    </row>
    <row r="40" spans="1:11" ht="12.75" customHeight="1" x14ac:dyDescent="0.25">
      <c r="A40" s="518" t="s">
        <v>1050</v>
      </c>
      <c r="B40" s="169"/>
      <c r="C40" s="748">
        <v>7568260</v>
      </c>
      <c r="D40" s="745">
        <v>4232876.804076002</v>
      </c>
      <c r="E40" s="733">
        <v>4232876.804076002</v>
      </c>
      <c r="F40" s="733">
        <v>163677.60000000003</v>
      </c>
      <c r="G40" s="733">
        <v>1835431.9999999998</v>
      </c>
      <c r="H40" s="733">
        <f t="shared" si="11"/>
        <v>4232876.804076002</v>
      </c>
      <c r="I40" s="44">
        <f>G40-H40</f>
        <v>-2397444.804076002</v>
      </c>
      <c r="J40" s="330">
        <f>IF(I40=0,"",I40/H40)</f>
        <v>-0.56638662428526365</v>
      </c>
      <c r="K40" s="735">
        <f t="shared" si="14"/>
        <v>4232876.804076002</v>
      </c>
    </row>
    <row r="41" spans="1:11" ht="12.75" customHeight="1" x14ac:dyDescent="0.25">
      <c r="A41" s="518" t="s">
        <v>1051</v>
      </c>
      <c r="B41" s="169"/>
      <c r="C41" s="748">
        <v>4128372</v>
      </c>
      <c r="D41" s="745">
        <v>7812877.275000005</v>
      </c>
      <c r="E41" s="733">
        <v>7812877.275000005</v>
      </c>
      <c r="F41" s="733">
        <v>182292.38999999993</v>
      </c>
      <c r="G41" s="733">
        <v>2219224.0300000003</v>
      </c>
      <c r="H41" s="733">
        <f t="shared" si="11"/>
        <v>7812877.275000005</v>
      </c>
      <c r="I41" s="44">
        <f>G41-H41</f>
        <v>-5593653.2450000048</v>
      </c>
      <c r="J41" s="330">
        <f>IF(I41=0,"",I41/H41)</f>
        <v>-0.71595304112850044</v>
      </c>
      <c r="K41" s="735">
        <f t="shared" si="14"/>
        <v>7812877.275000005</v>
      </c>
    </row>
    <row r="42" spans="1:11" ht="12.75" customHeight="1" x14ac:dyDescent="0.25">
      <c r="A42" s="518" t="s">
        <v>1052</v>
      </c>
      <c r="B42" s="169"/>
      <c r="C42" s="748">
        <v>59511537</v>
      </c>
      <c r="D42" s="745">
        <v>46854856.603799991</v>
      </c>
      <c r="E42" s="733">
        <v>46854856.603799991</v>
      </c>
      <c r="F42" s="733">
        <v>8790420.3199999966</v>
      </c>
      <c r="G42" s="733">
        <v>35337856.290000029</v>
      </c>
      <c r="H42" s="733">
        <f t="shared" si="11"/>
        <v>46854856.603799991</v>
      </c>
      <c r="I42" s="44">
        <f t="shared" si="12"/>
        <v>-11517000.313799962</v>
      </c>
      <c r="J42" s="330">
        <f t="shared" si="13"/>
        <v>-0.24580163399466937</v>
      </c>
      <c r="K42" s="735">
        <f t="shared" si="14"/>
        <v>46854856.603799991</v>
      </c>
    </row>
    <row r="43" spans="1:11" ht="12.75" customHeight="1" x14ac:dyDescent="0.25">
      <c r="A43" s="518" t="s">
        <v>1053</v>
      </c>
      <c r="B43" s="169"/>
      <c r="C43" s="748">
        <v>18610702</v>
      </c>
      <c r="D43" s="745"/>
      <c r="E43" s="733"/>
      <c r="F43" s="733"/>
      <c r="G43" s="733"/>
      <c r="H43" s="733"/>
      <c r="I43" s="44">
        <f t="shared" si="12"/>
        <v>0</v>
      </c>
      <c r="J43" s="330" t="str">
        <f t="shared" si="13"/>
        <v/>
      </c>
      <c r="K43" s="735"/>
    </row>
    <row r="44" spans="1:11" ht="12.75" customHeight="1" x14ac:dyDescent="0.25">
      <c r="A44" s="518" t="s">
        <v>1054</v>
      </c>
      <c r="B44" s="169"/>
      <c r="C44" s="748">
        <v>27903119</v>
      </c>
      <c r="D44" s="745">
        <v>24172767.795784086</v>
      </c>
      <c r="E44" s="733">
        <v>24172767.795784086</v>
      </c>
      <c r="F44" s="733">
        <v>24074632.190000001</v>
      </c>
      <c r="G44" s="733">
        <v>128542594.10000002</v>
      </c>
      <c r="H44" s="733">
        <f>E44/12*12</f>
        <v>24172767.795784086</v>
      </c>
      <c r="I44" s="44">
        <f t="shared" si="12"/>
        <v>104369826.30421594</v>
      </c>
      <c r="J44" s="330">
        <f t="shared" si="13"/>
        <v>4.3176613942578319</v>
      </c>
      <c r="K44" s="735">
        <f>E44</f>
        <v>24172767.795784086</v>
      </c>
    </row>
    <row r="45" spans="1:11" ht="12.75" customHeight="1" x14ac:dyDescent="0.25">
      <c r="A45" s="518" t="s">
        <v>1055</v>
      </c>
      <c r="B45" s="169">
        <v>2</v>
      </c>
      <c r="C45" s="748">
        <v>60780815</v>
      </c>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1336537051</v>
      </c>
      <c r="D46" s="475">
        <f t="shared" si="15"/>
        <v>1415127221.9541829</v>
      </c>
      <c r="E46" s="430">
        <f t="shared" si="15"/>
        <v>1415127221.9541829</v>
      </c>
      <c r="F46" s="430">
        <f>SUM(F34:F45)</f>
        <v>204397434.88000003</v>
      </c>
      <c r="G46" s="430">
        <f>SUM(G34:G45)</f>
        <v>1413822101.46</v>
      </c>
      <c r="H46" s="430">
        <f>SUM(H34:H45)</f>
        <v>1415127221.9541829</v>
      </c>
      <c r="I46" s="430">
        <f t="shared" si="12"/>
        <v>-1305120.4941828251</v>
      </c>
      <c r="J46" s="431">
        <f>IF(I46=0,"",I46/H46)</f>
        <v>-9.2226371872102995E-4</v>
      </c>
      <c r="K46" s="513">
        <f t="shared" si="15"/>
        <v>1415127221.9541829</v>
      </c>
    </row>
    <row r="47" spans="1:11" ht="12.75" customHeight="1" x14ac:dyDescent="0.25">
      <c r="A47" s="565" t="s">
        <v>722</v>
      </c>
      <c r="B47" s="169">
        <v>4</v>
      </c>
      <c r="C47" s="399"/>
      <c r="D47" s="303">
        <f>IF(D46=0,"",(D46/C46)-1)</f>
        <v>5.8801341044291577E-2</v>
      </c>
      <c r="E47" s="303">
        <f>IF(E46=0,"",(E46/C46)-1)</f>
        <v>5.8801341044291577E-2</v>
      </c>
      <c r="F47" s="303"/>
      <c r="G47" s="303"/>
      <c r="H47" s="303"/>
      <c r="I47" s="401"/>
      <c r="J47" s="403"/>
      <c r="K47" s="312">
        <f>IF(K46=0,"",(K46/C46)-1)</f>
        <v>5.8801341044291577E-2</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1389246307</v>
      </c>
      <c r="D49" s="74">
        <f t="shared" ref="D49:K49" si="16">D14+D30+D46</f>
        <v>1483847874.727263</v>
      </c>
      <c r="E49" s="73">
        <f t="shared" si="16"/>
        <v>1483847874.727263</v>
      </c>
      <c r="F49" s="73">
        <f t="shared" si="16"/>
        <v>209356395.35000002</v>
      </c>
      <c r="G49" s="73">
        <f t="shared" si="16"/>
        <v>1472078706.77</v>
      </c>
      <c r="H49" s="73">
        <f t="shared" si="16"/>
        <v>1483847874.727263</v>
      </c>
      <c r="I49" s="73">
        <f>G49-H49</f>
        <v>-11769167.957262993</v>
      </c>
      <c r="J49" s="331">
        <f>IF(I49=0,"",I49/H49)</f>
        <v>-7.9315192330118144E-3</v>
      </c>
      <c r="K49" s="145">
        <f t="shared" si="16"/>
        <v>1483847874.727263</v>
      </c>
    </row>
    <row r="50" spans="1:11" ht="5.0999999999999996" customHeight="1" x14ac:dyDescent="0.25">
      <c r="A50" s="42"/>
      <c r="B50" s="169"/>
      <c r="C50" s="173"/>
      <c r="D50" s="303">
        <f>IF(D49=0,"",(D49/C49)-1)</f>
        <v>6.8095604969826917E-2</v>
      </c>
      <c r="E50" s="303">
        <f>IF(E49=0,"",(E49/C49)-1)</f>
        <v>6.8095604969826917E-2</v>
      </c>
      <c r="F50" s="303"/>
      <c r="G50" s="303"/>
      <c r="H50" s="303"/>
      <c r="I50" s="303"/>
      <c r="J50" s="344"/>
      <c r="K50" s="312">
        <f>IF(K49=0,"",(K49/C49)-1)</f>
        <v>6.8095604969826917E-2</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v>27862.87</v>
      </c>
      <c r="G54" s="733">
        <v>185741.15</v>
      </c>
      <c r="H54" s="733"/>
      <c r="I54" s="44">
        <f t="shared" ref="I54:I67" si="17">G54-H54</f>
        <v>185741.15</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27862.87</v>
      </c>
      <c r="G67" s="430">
        <f>SUM(G54:G66)</f>
        <v>185741.15</v>
      </c>
      <c r="H67" s="430">
        <f>SUM(H54:H66)</f>
        <v>0</v>
      </c>
      <c r="I67" s="430">
        <f t="shared" si="17"/>
        <v>185741.15</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80666.149999999994</v>
      </c>
      <c r="G71" s="733">
        <v>717214.57</v>
      </c>
      <c r="H71" s="733">
        <f>E71/12*12</f>
        <v>582641.17447499989</v>
      </c>
      <c r="I71" s="44">
        <f t="shared" ref="I71:I83" si="20">G71-H71</f>
        <v>134573.39552500006</v>
      </c>
      <c r="J71" s="330">
        <f t="shared" ref="J71:J82" si="21">IF(I71=0,"",I71/H71)</f>
        <v>0.23097131033737878</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27048</v>
      </c>
      <c r="H73" s="733">
        <f>E73/12*12</f>
        <v>27003.628799999999</v>
      </c>
      <c r="I73" s="44">
        <f t="shared" si="20"/>
        <v>44.371200000001409</v>
      </c>
      <c r="J73" s="330">
        <f t="shared" si="21"/>
        <v>1.6431569374854319E-3</v>
      </c>
      <c r="K73" s="735">
        <f>E73</f>
        <v>27003.628799999999</v>
      </c>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f t="shared" ref="H75:H77" si="22">E75/12*12</f>
        <v>62095.416075000001</v>
      </c>
      <c r="I75" s="44">
        <f>G75-H75</f>
        <v>-62095.416075000001</v>
      </c>
      <c r="J75" s="330">
        <f>IF(I75=0,"",I75/H75)</f>
        <v>-1</v>
      </c>
      <c r="K75" s="735">
        <f t="shared" ref="K75:K77" si="23">E75</f>
        <v>62095.416074999994</v>
      </c>
    </row>
    <row r="76" spans="1:11" ht="12.75" customHeight="1" x14ac:dyDescent="0.25">
      <c r="A76" s="518" t="s">
        <v>1049</v>
      </c>
      <c r="B76" s="169"/>
      <c r="C76" s="748"/>
      <c r="D76" s="745">
        <v>24952.949999999997</v>
      </c>
      <c r="E76" s="733">
        <v>24952.949999999997</v>
      </c>
      <c r="F76" s="733">
        <v>2500</v>
      </c>
      <c r="G76" s="733">
        <v>30000</v>
      </c>
      <c r="H76" s="733">
        <f t="shared" si="22"/>
        <v>24952.949999999997</v>
      </c>
      <c r="I76" s="44">
        <f>G76-H76</f>
        <v>5047.0500000000029</v>
      </c>
      <c r="J76" s="330">
        <f>IF(I76=0,"",I76/H76)</f>
        <v>0.20226265832296395</v>
      </c>
      <c r="K76" s="735">
        <f t="shared" si="23"/>
        <v>24952.949999999997</v>
      </c>
    </row>
    <row r="77" spans="1:11" ht="12.75" customHeight="1" x14ac:dyDescent="0.25">
      <c r="A77" s="518" t="s">
        <v>1050</v>
      </c>
      <c r="B77" s="169"/>
      <c r="C77" s="748"/>
      <c r="D77" s="745">
        <v>8166.4199999999992</v>
      </c>
      <c r="E77" s="733">
        <v>8166.4199999999992</v>
      </c>
      <c r="F77" s="733">
        <v>800</v>
      </c>
      <c r="G77" s="733">
        <v>8000</v>
      </c>
      <c r="H77" s="733">
        <f t="shared" si="22"/>
        <v>8166.42</v>
      </c>
      <c r="I77" s="44">
        <f>G77-H77</f>
        <v>-166.42000000000007</v>
      </c>
      <c r="J77" s="330">
        <f>IF(I77=0,"",I77/H77)</f>
        <v>-2.0378574699807268E-2</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86220.15</v>
      </c>
      <c r="G83" s="430">
        <f>SUM(G71:G82)</f>
        <v>782262.57</v>
      </c>
      <c r="H83" s="430">
        <f>SUM(H71:H82)</f>
        <v>704859.58934999979</v>
      </c>
      <c r="I83" s="430">
        <f t="shared" si="20"/>
        <v>77402.980650000158</v>
      </c>
      <c r="J83" s="431">
        <f>IF(I83=0,"",I83/H83)</f>
        <v>0.10981333278217702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v>5657191.3799999999</v>
      </c>
      <c r="D87" s="745">
        <v>6769587.5498149209</v>
      </c>
      <c r="E87" s="733">
        <v>6769587.5498149209</v>
      </c>
      <c r="F87" s="733">
        <v>582175.25</v>
      </c>
      <c r="G87" s="733">
        <v>6496843.5300000003</v>
      </c>
      <c r="H87" s="733">
        <f t="shared" ref="H87:H93" si="25">E87/12*12</f>
        <v>6769587.5498149209</v>
      </c>
      <c r="I87" s="44">
        <f t="shared" ref="I87:I99" si="26">G87-H87</f>
        <v>-272744.01981492061</v>
      </c>
      <c r="J87" s="330">
        <f t="shared" ref="J87:J98" si="27">IF(I87=0,"",I87/H87)</f>
        <v>-4.0289606686950578E-2</v>
      </c>
      <c r="K87" s="735">
        <f t="shared" ref="K87:K95" si="28">E87</f>
        <v>6769587.5498149209</v>
      </c>
    </row>
    <row r="88" spans="1:11" ht="12.75" customHeight="1" x14ac:dyDescent="0.25">
      <c r="A88" s="518" t="s">
        <v>1048</v>
      </c>
      <c r="B88" s="169"/>
      <c r="C88" s="748">
        <v>477072.08</v>
      </c>
      <c r="D88" s="745">
        <v>570880.67137872009</v>
      </c>
      <c r="E88" s="733">
        <v>570880.67137872009</v>
      </c>
      <c r="F88" s="733">
        <v>44934.49</v>
      </c>
      <c r="G88" s="733">
        <v>454584.53</v>
      </c>
      <c r="H88" s="733">
        <f t="shared" si="25"/>
        <v>570880.67137872009</v>
      </c>
      <c r="I88" s="44">
        <f t="shared" si="26"/>
        <v>-116296.14137872006</v>
      </c>
      <c r="J88" s="330">
        <f t="shared" si="27"/>
        <v>-0.20371357309725702</v>
      </c>
      <c r="K88" s="735">
        <f t="shared" si="28"/>
        <v>570880.67137872009</v>
      </c>
    </row>
    <row r="89" spans="1:11" ht="12.75" customHeight="1" x14ac:dyDescent="0.25">
      <c r="A89" s="518" t="s">
        <v>427</v>
      </c>
      <c r="B89" s="169"/>
      <c r="C89" s="748">
        <v>743763.84000000008</v>
      </c>
      <c r="D89" s="745">
        <v>890013.09891456028</v>
      </c>
      <c r="E89" s="733">
        <v>890013.09891456028</v>
      </c>
      <c r="F89" s="733">
        <v>77136.240000000005</v>
      </c>
      <c r="G89" s="733">
        <v>815542.88</v>
      </c>
      <c r="H89" s="733">
        <f t="shared" si="25"/>
        <v>890013.09891456028</v>
      </c>
      <c r="I89" s="44">
        <f>G89-H89</f>
        <v>-74470.218914560275</v>
      </c>
      <c r="J89" s="330">
        <f>IF(I89=0,"",I89/H89)</f>
        <v>-8.3673171782957412E-2</v>
      </c>
      <c r="K89" s="735">
        <f t="shared" si="28"/>
        <v>890013.09891456028</v>
      </c>
    </row>
    <row r="90" spans="1:11" ht="12.75" customHeight="1" x14ac:dyDescent="0.25">
      <c r="A90" s="518" t="s">
        <v>539</v>
      </c>
      <c r="B90" s="169"/>
      <c r="C90" s="748">
        <v>891958.20000000007</v>
      </c>
      <c r="D90" s="745">
        <v>1067347.5086988001</v>
      </c>
      <c r="E90" s="733">
        <v>1067347.5086988001</v>
      </c>
      <c r="F90" s="733">
        <v>26739.119999999999</v>
      </c>
      <c r="G90" s="733">
        <v>764355.28</v>
      </c>
      <c r="H90" s="733">
        <f t="shared" si="25"/>
        <v>1067347.5086988001</v>
      </c>
      <c r="I90" s="44">
        <f>G90-H90</f>
        <v>-302992.22869880009</v>
      </c>
      <c r="J90" s="330">
        <f>IF(I90=0,"",I90/H90)</f>
        <v>-0.28387402062536965</v>
      </c>
      <c r="K90" s="735">
        <f t="shared" si="28"/>
        <v>1067347.5086988001</v>
      </c>
    </row>
    <row r="91" spans="1:11" ht="12.75" customHeight="1" x14ac:dyDescent="0.25">
      <c r="A91" s="518" t="s">
        <v>429</v>
      </c>
      <c r="B91" s="169"/>
      <c r="C91" s="748">
        <v>577347.02</v>
      </c>
      <c r="D91" s="745">
        <v>690873.07393068005</v>
      </c>
      <c r="E91" s="733">
        <v>690873.07393068005</v>
      </c>
      <c r="F91" s="733">
        <v>156052.48000000001</v>
      </c>
      <c r="G91" s="733">
        <v>156052.48000000001</v>
      </c>
      <c r="H91" s="733">
        <f t="shared" si="25"/>
        <v>690873.07393068005</v>
      </c>
      <c r="I91" s="44">
        <f>G91-H91</f>
        <v>-534820.59393068007</v>
      </c>
      <c r="J91" s="330">
        <f>IF(I91=0,"",I91/H91)</f>
        <v>-0.77412279347905544</v>
      </c>
      <c r="K91" s="735">
        <f t="shared" si="28"/>
        <v>690873.07393068005</v>
      </c>
    </row>
    <row r="92" spans="1:11" ht="12.75" customHeight="1" x14ac:dyDescent="0.25">
      <c r="A92" s="518" t="s">
        <v>1049</v>
      </c>
      <c r="B92" s="169"/>
      <c r="C92" s="748">
        <v>163240</v>
      </c>
      <c r="D92" s="745">
        <v>195338.53416000001</v>
      </c>
      <c r="E92" s="733">
        <v>195338.53416000001</v>
      </c>
      <c r="F92" s="733">
        <v>6550</v>
      </c>
      <c r="G92" s="733">
        <v>97050</v>
      </c>
      <c r="H92" s="733">
        <f t="shared" si="25"/>
        <v>195338.53416000001</v>
      </c>
      <c r="I92" s="44">
        <f>G92-H92</f>
        <v>-98288.53416000001</v>
      </c>
      <c r="J92" s="330">
        <f>IF(I92=0,"",I92/H92)</f>
        <v>-0.5031702248747949</v>
      </c>
      <c r="K92" s="735">
        <f t="shared" si="28"/>
        <v>195338.53416000001</v>
      </c>
    </row>
    <row r="93" spans="1:11" ht="12.75" customHeight="1" x14ac:dyDescent="0.25">
      <c r="A93" s="518" t="s">
        <v>1050</v>
      </c>
      <c r="B93" s="169"/>
      <c r="C93" s="748">
        <v>77486</v>
      </c>
      <c r="D93" s="745">
        <v>92722.382124000011</v>
      </c>
      <c r="E93" s="733">
        <v>92722.382124000011</v>
      </c>
      <c r="F93" s="733">
        <v>8500</v>
      </c>
      <c r="G93" s="733">
        <v>63200</v>
      </c>
      <c r="H93" s="733">
        <f t="shared" si="25"/>
        <v>92722.382124000011</v>
      </c>
      <c r="I93" s="44">
        <f t="shared" si="26"/>
        <v>-29522.382124000011</v>
      </c>
      <c r="J93" s="330">
        <f t="shared" si="27"/>
        <v>-0.31839542349676669</v>
      </c>
      <c r="K93" s="735">
        <f t="shared" si="28"/>
        <v>92722.382124000011</v>
      </c>
    </row>
    <row r="94" spans="1:11" ht="12.75" customHeight="1" x14ac:dyDescent="0.25">
      <c r="A94" s="518" t="s">
        <v>1051</v>
      </c>
      <c r="B94" s="169"/>
      <c r="C94" s="748">
        <v>0</v>
      </c>
      <c r="D94" s="745"/>
      <c r="E94" s="733"/>
      <c r="F94" s="733">
        <v>0</v>
      </c>
      <c r="G94" s="733">
        <v>0</v>
      </c>
      <c r="H94" s="733"/>
      <c r="I94" s="44">
        <f t="shared" si="26"/>
        <v>0</v>
      </c>
      <c r="J94" s="330" t="str">
        <f t="shared" si="27"/>
        <v/>
      </c>
      <c r="K94" s="735"/>
    </row>
    <row r="95" spans="1:11" ht="12.75" customHeight="1" x14ac:dyDescent="0.25">
      <c r="A95" s="518" t="s">
        <v>1052</v>
      </c>
      <c r="B95" s="169"/>
      <c r="C95" s="748">
        <v>0</v>
      </c>
      <c r="D95" s="745">
        <v>84982.409815920022</v>
      </c>
      <c r="E95" s="733">
        <v>84982.409815920022</v>
      </c>
      <c r="F95" s="733">
        <v>0</v>
      </c>
      <c r="G95" s="733">
        <v>32844.47</v>
      </c>
      <c r="H95" s="733">
        <f>E95/12*12</f>
        <v>84982.409815920022</v>
      </c>
      <c r="I95" s="44">
        <f t="shared" si="26"/>
        <v>-52137.939815920021</v>
      </c>
      <c r="J95" s="330">
        <f t="shared" si="27"/>
        <v>-0.61351448998511282</v>
      </c>
      <c r="K95" s="735">
        <f t="shared" si="28"/>
        <v>84982.409815920022</v>
      </c>
    </row>
    <row r="96" spans="1:11" ht="12.75" customHeight="1" x14ac:dyDescent="0.25">
      <c r="A96" s="518" t="s">
        <v>1053</v>
      </c>
      <c r="B96" s="169"/>
      <c r="C96" s="748">
        <v>71017.88</v>
      </c>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8659076.4000000004</v>
      </c>
      <c r="D99" s="475">
        <f t="shared" si="29"/>
        <v>10361745.228837602</v>
      </c>
      <c r="E99" s="430">
        <f t="shared" si="29"/>
        <v>10361745.228837602</v>
      </c>
      <c r="F99" s="430">
        <f t="shared" si="29"/>
        <v>902087.58</v>
      </c>
      <c r="G99" s="430">
        <f t="shared" si="29"/>
        <v>8880473.1700000018</v>
      </c>
      <c r="H99" s="430">
        <f t="shared" si="29"/>
        <v>10361745.228837602</v>
      </c>
      <c r="I99" s="430">
        <f t="shared" si="26"/>
        <v>-1481272.0588376001</v>
      </c>
      <c r="J99" s="431">
        <f>IF(I99=0,"",I99/H99)</f>
        <v>-0.14295584634865335</v>
      </c>
      <c r="K99" s="513">
        <f>SUM(K87:K98)</f>
        <v>10361745.228837602</v>
      </c>
    </row>
    <row r="100" spans="1:14" ht="12.75" customHeight="1" x14ac:dyDescent="0.25">
      <c r="A100" s="565" t="s">
        <v>722</v>
      </c>
      <c r="B100" s="169">
        <v>4</v>
      </c>
      <c r="C100" s="399"/>
      <c r="D100" s="303">
        <f>IF(D99=0,"",(D99/C99)-1)</f>
        <v>0.1966340000000002</v>
      </c>
      <c r="E100" s="303">
        <f>IF(E99=0,"",(E99/C99)-1)</f>
        <v>0.1966340000000002</v>
      </c>
      <c r="F100" s="303"/>
      <c r="G100" s="303"/>
      <c r="H100" s="303"/>
      <c r="I100" s="401"/>
      <c r="J100" s="403"/>
      <c r="K100" s="312">
        <f>IF(K99=0,"",(K99/C99)-1)</f>
        <v>0.1966340000000002</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8659076.4000000004</v>
      </c>
      <c r="D102" s="475">
        <f t="shared" si="30"/>
        <v>11066604.818187602</v>
      </c>
      <c r="E102" s="430">
        <f t="shared" si="30"/>
        <v>11066604.818187602</v>
      </c>
      <c r="F102" s="430">
        <f t="shared" si="30"/>
        <v>1016170.6</v>
      </c>
      <c r="G102" s="430">
        <f t="shared" si="30"/>
        <v>9848476.8900000025</v>
      </c>
      <c r="H102" s="430">
        <f t="shared" si="30"/>
        <v>11066604.818187602</v>
      </c>
      <c r="I102" s="430">
        <f>G102-H102</f>
        <v>-1218127.9281875994</v>
      </c>
      <c r="J102" s="431">
        <f>IF(I102=0,"",I102/H102)</f>
        <v>-0.11007241590353403</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1397905383.4000001</v>
      </c>
      <c r="D104" s="56">
        <f t="shared" si="31"/>
        <v>1494914479.5454507</v>
      </c>
      <c r="E104" s="55">
        <f t="shared" si="31"/>
        <v>1494914479.5454507</v>
      </c>
      <c r="F104" s="55">
        <f t="shared" si="31"/>
        <v>210372565.95000002</v>
      </c>
      <c r="G104" s="55">
        <f t="shared" si="31"/>
        <v>1481927183.6600001</v>
      </c>
      <c r="H104" s="55">
        <f t="shared" si="31"/>
        <v>1494914479.5454507</v>
      </c>
      <c r="I104" s="55">
        <f>G104-H104</f>
        <v>-12987295.885450602</v>
      </c>
      <c r="J104" s="332">
        <f>IF(I104=0,"",I104/H104)</f>
        <v>-8.6876514095974022E-3</v>
      </c>
      <c r="K104" s="235">
        <f>K49+K102</f>
        <v>1494914479.5454507</v>
      </c>
    </row>
    <row r="105" spans="1:14" ht="12.75" customHeight="1" x14ac:dyDescent="0.25">
      <c r="A105" s="565" t="s">
        <v>722</v>
      </c>
      <c r="B105" s="169">
        <v>4</v>
      </c>
      <c r="C105" s="399"/>
      <c r="D105" s="303">
        <f>IF(D104=0,"",(D104/C104)-1)</f>
        <v>6.9396038742982835E-2</v>
      </c>
      <c r="E105" s="303">
        <f>IF(E104=0,"",(E104/C104)-1)</f>
        <v>6.9396038742982835E-2</v>
      </c>
      <c r="F105" s="303"/>
      <c r="G105" s="303"/>
      <c r="H105" s="303"/>
      <c r="I105" s="401"/>
      <c r="J105" s="403"/>
      <c r="K105" s="312">
        <f>IF(K104=0,"",(K104/C104)-1)</f>
        <v>6.9396038742982835E-2</v>
      </c>
      <c r="L105" s="67"/>
      <c r="M105" s="67"/>
      <c r="N105" s="67"/>
    </row>
    <row r="106" spans="1:14" ht="12.75" customHeight="1" x14ac:dyDescent="0.25">
      <c r="A106" s="567" t="s">
        <v>133</v>
      </c>
      <c r="B106" s="236"/>
      <c r="C106" s="112">
        <f t="shared" ref="C106:I106" si="32">C30+C46+C83+C99</f>
        <v>1354146061.4000001</v>
      </c>
      <c r="D106" s="56">
        <f t="shared" si="32"/>
        <v>1441264078.4299703</v>
      </c>
      <c r="E106" s="55">
        <f t="shared" si="32"/>
        <v>1441264078.4299703</v>
      </c>
      <c r="F106" s="55">
        <f t="shared" si="32"/>
        <v>206313813.56000003</v>
      </c>
      <c r="G106" s="55">
        <f t="shared" si="32"/>
        <v>1430100195.3800001</v>
      </c>
      <c r="H106" s="55">
        <f t="shared" si="32"/>
        <v>1441264078.4299703</v>
      </c>
      <c r="I106" s="55">
        <f t="shared" si="32"/>
        <v>-11163883.049970429</v>
      </c>
      <c r="J106" s="888">
        <f>IF(I106=0,"",I106/H106)</f>
        <v>-7.7458969643729118E-3</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S33" sqref="S33"/>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Q4 Fourth Quarter</v>
      </c>
      <c r="B1" s="68"/>
    </row>
    <row r="2" spans="1:17" ht="25.5" customHeight="1" x14ac:dyDescent="0.25">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5">
      <c r="A3" s="1046"/>
      <c r="B3" s="1049"/>
      <c r="C3" s="143" t="s">
        <v>782</v>
      </c>
      <c r="D3" s="27" t="s">
        <v>905</v>
      </c>
      <c r="E3" s="27" t="s">
        <v>3</v>
      </c>
      <c r="F3" s="27" t="s">
        <v>906</v>
      </c>
      <c r="G3" s="27" t="s">
        <v>4</v>
      </c>
      <c r="H3" s="27" t="s">
        <v>5</v>
      </c>
      <c r="I3" s="27" t="s">
        <v>909</v>
      </c>
      <c r="J3" s="27" t="s">
        <v>6</v>
      </c>
      <c r="K3" s="27" t="s">
        <v>911</v>
      </c>
      <c r="L3" s="27" t="s">
        <v>912</v>
      </c>
      <c r="M3" s="27" t="s">
        <v>913</v>
      </c>
      <c r="N3" s="163" t="s">
        <v>914</v>
      </c>
      <c r="O3" s="1090" t="str">
        <f>Head9</f>
        <v>Budget Year 2020/21</v>
      </c>
      <c r="P3" s="1086" t="str">
        <f>Head10</f>
        <v>Budget Year +1 2021/22</v>
      </c>
      <c r="Q3" s="1088"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1"/>
      <c r="P4" s="1087"/>
      <c r="Q4" s="1089"/>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v>105816216.168483</v>
      </c>
      <c r="D6" s="733">
        <v>105816216.168483</v>
      </c>
      <c r="E6" s="733">
        <v>105816216.16848332</v>
      </c>
      <c r="F6" s="733">
        <v>105816216.16848332</v>
      </c>
      <c r="G6" s="733">
        <v>105816216.16848332</v>
      </c>
      <c r="H6" s="733">
        <v>105816216.16848332</v>
      </c>
      <c r="I6" s="733">
        <v>105816216.16848332</v>
      </c>
      <c r="J6" s="733">
        <v>105816216.16848332</v>
      </c>
      <c r="K6" s="733">
        <v>105816216.16848332</v>
      </c>
      <c r="L6" s="733">
        <v>105816216.16848332</v>
      </c>
      <c r="M6" s="733">
        <v>105816216.16848332</v>
      </c>
      <c r="N6" s="108">
        <f t="shared" ref="N6:N20" si="0">O6-SUM(C6:M6)</f>
        <v>105816216.16848421</v>
      </c>
      <c r="O6" s="745">
        <v>1269794594.0217998</v>
      </c>
      <c r="P6" s="733">
        <v>1321378575.3248138</v>
      </c>
      <c r="Q6" s="735">
        <v>1400661289.8443022</v>
      </c>
    </row>
    <row r="7" spans="1:17" ht="12.75" customHeight="1" x14ac:dyDescent="0.25">
      <c r="A7" s="39" t="s">
        <v>834</v>
      </c>
      <c r="B7" s="40"/>
      <c r="C7" s="753">
        <v>215397973.09481752</v>
      </c>
      <c r="D7" s="733">
        <v>215397973.09481752</v>
      </c>
      <c r="E7" s="733">
        <v>215397973.09481752</v>
      </c>
      <c r="F7" s="733">
        <v>215397973.09481752</v>
      </c>
      <c r="G7" s="733">
        <v>215397973.09481752</v>
      </c>
      <c r="H7" s="733">
        <v>215397973.09481752</v>
      </c>
      <c r="I7" s="733">
        <v>215397973.09481752</v>
      </c>
      <c r="J7" s="733">
        <v>215397973.09481752</v>
      </c>
      <c r="K7" s="733">
        <v>215397973.09481752</v>
      </c>
      <c r="L7" s="733">
        <v>215397973.09481752</v>
      </c>
      <c r="M7" s="733">
        <v>215397973.09481752</v>
      </c>
      <c r="N7" s="108">
        <f t="shared" si="0"/>
        <v>215397973.09481812</v>
      </c>
      <c r="O7" s="745">
        <v>2584775677.1378117</v>
      </c>
      <c r="P7" s="733">
        <v>2961894448.4322181</v>
      </c>
      <c r="Q7" s="735">
        <v>3317321782.2440844</v>
      </c>
    </row>
    <row r="8" spans="1:17" ht="12.75" customHeight="1" x14ac:dyDescent="0.25">
      <c r="A8" s="39" t="s">
        <v>835</v>
      </c>
      <c r="B8" s="40"/>
      <c r="C8" s="753">
        <v>60219424.56863334</v>
      </c>
      <c r="D8" s="733">
        <v>60219424.56863334</v>
      </c>
      <c r="E8" s="733">
        <v>60219424.56863334</v>
      </c>
      <c r="F8" s="733">
        <v>60219424.56863334</v>
      </c>
      <c r="G8" s="733">
        <v>60219424.56863334</v>
      </c>
      <c r="H8" s="733">
        <v>60219424.56863334</v>
      </c>
      <c r="I8" s="733">
        <v>60219424.56863334</v>
      </c>
      <c r="J8" s="733">
        <v>60219424.56863334</v>
      </c>
      <c r="K8" s="733">
        <v>60219424.56863334</v>
      </c>
      <c r="L8" s="733">
        <v>60219424.56863334</v>
      </c>
      <c r="M8" s="733">
        <v>60219424.56863334</v>
      </c>
      <c r="N8" s="108">
        <f t="shared" si="0"/>
        <v>60219424.568633676</v>
      </c>
      <c r="O8" s="745">
        <v>722633094.82360029</v>
      </c>
      <c r="P8" s="733">
        <v>773217411.46125221</v>
      </c>
      <c r="Q8" s="735">
        <v>827342630.26354003</v>
      </c>
    </row>
    <row r="9" spans="1:17" ht="12.75" customHeight="1" x14ac:dyDescent="0.25">
      <c r="A9" s="39" t="s">
        <v>836</v>
      </c>
      <c r="B9" s="40"/>
      <c r="C9" s="753">
        <v>12668479.113399999</v>
      </c>
      <c r="D9" s="733">
        <v>12668479.113399999</v>
      </c>
      <c r="E9" s="733">
        <v>12668479.113399999</v>
      </c>
      <c r="F9" s="733">
        <v>12668479.113399999</v>
      </c>
      <c r="G9" s="733">
        <v>12668479.113399999</v>
      </c>
      <c r="H9" s="733">
        <v>12668479.113399999</v>
      </c>
      <c r="I9" s="733">
        <v>12668479.113399999</v>
      </c>
      <c r="J9" s="733">
        <v>12668479.113399999</v>
      </c>
      <c r="K9" s="733">
        <v>12668479.113399999</v>
      </c>
      <c r="L9" s="733">
        <v>12668479.113399999</v>
      </c>
      <c r="M9" s="733">
        <v>12668479.113399999</v>
      </c>
      <c r="N9" s="108">
        <f t="shared" si="0"/>
        <v>12668479.113400012</v>
      </c>
      <c r="O9" s="745">
        <v>152021749.3608</v>
      </c>
      <c r="P9" s="733">
        <v>160154912.95160282</v>
      </c>
      <c r="Q9" s="735">
        <v>169652099.28963286</v>
      </c>
    </row>
    <row r="10" spans="1:17" ht="12.75" customHeight="1" x14ac:dyDescent="0.25">
      <c r="A10" s="39" t="s">
        <v>485</v>
      </c>
      <c r="B10" s="40"/>
      <c r="C10" s="753">
        <v>9694423.414224999</v>
      </c>
      <c r="D10" s="733">
        <v>9694423.414224999</v>
      </c>
      <c r="E10" s="733">
        <v>9694423.414224999</v>
      </c>
      <c r="F10" s="733">
        <v>9694423.414224999</v>
      </c>
      <c r="G10" s="733">
        <v>9694423.414224999</v>
      </c>
      <c r="H10" s="733">
        <v>9694423.414224999</v>
      </c>
      <c r="I10" s="733">
        <v>9694423.414224999</v>
      </c>
      <c r="J10" s="733">
        <v>9694423.414224999</v>
      </c>
      <c r="K10" s="733">
        <v>9694423.414224999</v>
      </c>
      <c r="L10" s="733">
        <v>9694423.414224999</v>
      </c>
      <c r="M10" s="733">
        <v>9694423.414224999</v>
      </c>
      <c r="N10" s="108">
        <f t="shared" si="0"/>
        <v>9694423.4142250121</v>
      </c>
      <c r="O10" s="745">
        <v>116333080.9707</v>
      </c>
      <c r="P10" s="733">
        <v>122556900.80263247</v>
      </c>
      <c r="Q10" s="735">
        <v>129824525.02022855</v>
      </c>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v>2423233.1355833327</v>
      </c>
      <c r="D12" s="733">
        <v>2423233.1355833327</v>
      </c>
      <c r="E12" s="733">
        <v>2423233.1355833327</v>
      </c>
      <c r="F12" s="733">
        <v>2423233.1355833327</v>
      </c>
      <c r="G12" s="733">
        <v>2423233.1355833327</v>
      </c>
      <c r="H12" s="733">
        <v>2423233.1355833327</v>
      </c>
      <c r="I12" s="733">
        <v>2423233.1355833327</v>
      </c>
      <c r="J12" s="733">
        <v>2423233.1355833327</v>
      </c>
      <c r="K12" s="733">
        <v>2423233.1355833327</v>
      </c>
      <c r="L12" s="733">
        <v>2423233.1355833327</v>
      </c>
      <c r="M12" s="733">
        <v>2423233.1355833327</v>
      </c>
      <c r="N12" s="108">
        <f t="shared" si="0"/>
        <v>2423233.1355833262</v>
      </c>
      <c r="O12" s="745">
        <v>29078797.626999993</v>
      </c>
      <c r="P12" s="733">
        <v>30634513.300044499</v>
      </c>
      <c r="Q12" s="735">
        <v>32451139.938737135</v>
      </c>
    </row>
    <row r="13" spans="1:17" ht="12.75" customHeight="1" x14ac:dyDescent="0.25">
      <c r="A13" s="39" t="s">
        <v>838</v>
      </c>
      <c r="B13" s="40"/>
      <c r="C13" s="753">
        <v>1271701.8689375001</v>
      </c>
      <c r="D13" s="733">
        <v>1271701.8689375001</v>
      </c>
      <c r="E13" s="733">
        <v>1271701.8689375001</v>
      </c>
      <c r="F13" s="733">
        <v>1271701.8689375001</v>
      </c>
      <c r="G13" s="733">
        <v>1271701.8689375001</v>
      </c>
      <c r="H13" s="733">
        <v>1271701.8689375001</v>
      </c>
      <c r="I13" s="733">
        <v>1271701.8689375001</v>
      </c>
      <c r="J13" s="733">
        <v>1271701.8689375001</v>
      </c>
      <c r="K13" s="733">
        <v>1271701.8689375001</v>
      </c>
      <c r="L13" s="733">
        <v>1271701.8689375001</v>
      </c>
      <c r="M13" s="733">
        <v>1271701.8689375001</v>
      </c>
      <c r="N13" s="108">
        <f t="shared" si="0"/>
        <v>1271701.8689374998</v>
      </c>
      <c r="O13" s="745">
        <v>15260422.42725</v>
      </c>
      <c r="P13" s="733">
        <v>16076855.027107876</v>
      </c>
      <c r="Q13" s="735">
        <v>17030212.530215371</v>
      </c>
    </row>
    <row r="14" spans="1:17" ht="12.75" customHeight="1" x14ac:dyDescent="0.25">
      <c r="A14" s="39" t="s">
        <v>839</v>
      </c>
      <c r="B14" s="40"/>
      <c r="C14" s="753">
        <v>16871482.823799998</v>
      </c>
      <c r="D14" s="733">
        <v>16871482.823799998</v>
      </c>
      <c r="E14" s="733">
        <v>16871482.823799998</v>
      </c>
      <c r="F14" s="733">
        <v>16871482.823799998</v>
      </c>
      <c r="G14" s="733">
        <v>16871482.823799998</v>
      </c>
      <c r="H14" s="733">
        <v>16871482.823799998</v>
      </c>
      <c r="I14" s="733">
        <v>16871482.823799998</v>
      </c>
      <c r="J14" s="733">
        <v>16871482.823799998</v>
      </c>
      <c r="K14" s="733">
        <v>16871482.823799998</v>
      </c>
      <c r="L14" s="733">
        <v>16871482.823799998</v>
      </c>
      <c r="M14" s="733">
        <v>16871482.823799998</v>
      </c>
      <c r="N14" s="108">
        <f t="shared" si="0"/>
        <v>16871482.823799998</v>
      </c>
      <c r="O14" s="745">
        <v>202457793.88559997</v>
      </c>
      <c r="P14" s="733">
        <v>213289285.85847962</v>
      </c>
      <c r="Q14" s="735">
        <v>225937340.50988746</v>
      </c>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v>149879.286975</v>
      </c>
      <c r="D16" s="733">
        <v>149879.286975</v>
      </c>
      <c r="E16" s="733">
        <v>149879.286975</v>
      </c>
      <c r="F16" s="733">
        <v>149879.286975</v>
      </c>
      <c r="G16" s="733">
        <v>149879.286975</v>
      </c>
      <c r="H16" s="733">
        <v>149879.286975</v>
      </c>
      <c r="I16" s="733">
        <v>149879.286975</v>
      </c>
      <c r="J16" s="733">
        <v>149879.286975</v>
      </c>
      <c r="K16" s="733">
        <v>149879.286975</v>
      </c>
      <c r="L16" s="733">
        <v>149879.286975</v>
      </c>
      <c r="M16" s="733">
        <v>149879.286975</v>
      </c>
      <c r="N16" s="108">
        <f t="shared" si="0"/>
        <v>149879.28697499959</v>
      </c>
      <c r="O16" s="745">
        <v>1798551.4436999999</v>
      </c>
      <c r="P16" s="733">
        <v>1894773.9459379502</v>
      </c>
      <c r="Q16" s="735">
        <v>2007134.0409320705</v>
      </c>
    </row>
    <row r="17" spans="1:17" ht="12.75" customHeight="1" x14ac:dyDescent="0.25">
      <c r="A17" s="39" t="s">
        <v>840</v>
      </c>
      <c r="B17" s="40"/>
      <c r="C17" s="753">
        <v>93297.417124999993</v>
      </c>
      <c r="D17" s="733">
        <v>93297.417124999993</v>
      </c>
      <c r="E17" s="733">
        <v>93297.417124999993</v>
      </c>
      <c r="F17" s="733">
        <v>93297.417124999993</v>
      </c>
      <c r="G17" s="733">
        <v>93297.417124999993</v>
      </c>
      <c r="H17" s="733">
        <v>93297.417124999993</v>
      </c>
      <c r="I17" s="733">
        <v>93297.417124999993</v>
      </c>
      <c r="J17" s="733">
        <v>93297.417124999993</v>
      </c>
      <c r="K17" s="733">
        <v>93297.417124999993</v>
      </c>
      <c r="L17" s="733">
        <v>93297.417124999993</v>
      </c>
      <c r="M17" s="733">
        <v>93297.417124999993</v>
      </c>
      <c r="N17" s="108">
        <f t="shared" si="0"/>
        <v>93297.417124999803</v>
      </c>
      <c r="O17" s="745">
        <v>1119569.0055</v>
      </c>
      <c r="P17" s="733">
        <v>1179465.9472942504</v>
      </c>
      <c r="Q17" s="735">
        <v>1249408.2779687992</v>
      </c>
    </row>
    <row r="18" spans="1:17" ht="12.75" customHeight="1" x14ac:dyDescent="0.25">
      <c r="A18" s="39" t="s">
        <v>580</v>
      </c>
      <c r="B18" s="40"/>
      <c r="C18" s="753">
        <v>50158.502166666665</v>
      </c>
      <c r="D18" s="733">
        <v>50158.502166666665</v>
      </c>
      <c r="E18" s="733">
        <v>50158.502166666665</v>
      </c>
      <c r="F18" s="733">
        <v>50158.502166666665</v>
      </c>
      <c r="G18" s="733">
        <v>50158.502166666665</v>
      </c>
      <c r="H18" s="733">
        <v>50158.502166666665</v>
      </c>
      <c r="I18" s="733">
        <v>50158.502166666665</v>
      </c>
      <c r="J18" s="733">
        <v>50158.502166666665</v>
      </c>
      <c r="K18" s="733">
        <v>50158.502166666665</v>
      </c>
      <c r="L18" s="733">
        <v>50158.502166666665</v>
      </c>
      <c r="M18" s="733">
        <v>50158.502166666665</v>
      </c>
      <c r="N18" s="108">
        <f t="shared" si="0"/>
        <v>50158.502166666673</v>
      </c>
      <c r="O18" s="745">
        <v>601902.02599999995</v>
      </c>
      <c r="P18" s="733">
        <v>634103.78439100005</v>
      </c>
      <c r="Q18" s="735">
        <v>671706.13880538626</v>
      </c>
    </row>
    <row r="19" spans="1:17" ht="12.75" customHeight="1" x14ac:dyDescent="0.25">
      <c r="A19" s="992" t="s">
        <v>1372</v>
      </c>
      <c r="B19" s="40"/>
      <c r="C19" s="753">
        <v>56290270</v>
      </c>
      <c r="D19" s="733">
        <v>56290270</v>
      </c>
      <c r="E19" s="733">
        <v>56290270</v>
      </c>
      <c r="F19" s="733">
        <v>56290270</v>
      </c>
      <c r="G19" s="733">
        <v>56290270</v>
      </c>
      <c r="H19" s="733">
        <v>56290270</v>
      </c>
      <c r="I19" s="733">
        <v>56290270</v>
      </c>
      <c r="J19" s="733">
        <v>56290270</v>
      </c>
      <c r="K19" s="733">
        <v>56290270</v>
      </c>
      <c r="L19" s="733">
        <v>56290270</v>
      </c>
      <c r="M19" s="733">
        <v>56290270</v>
      </c>
      <c r="N19" s="108">
        <f t="shared" si="0"/>
        <v>56290270</v>
      </c>
      <c r="O19" s="745">
        <v>675483240</v>
      </c>
      <c r="P19" s="733">
        <v>661215834.75</v>
      </c>
      <c r="Q19" s="735">
        <v>696906045.30000007</v>
      </c>
    </row>
    <row r="20" spans="1:17" ht="12.75" customHeight="1" x14ac:dyDescent="0.25">
      <c r="A20" s="39" t="s">
        <v>453</v>
      </c>
      <c r="B20" s="40"/>
      <c r="C20" s="753">
        <v>12204315.428524999</v>
      </c>
      <c r="D20" s="733">
        <v>12204315.428524999</v>
      </c>
      <c r="E20" s="733">
        <v>12204315.428524999</v>
      </c>
      <c r="F20" s="733">
        <v>12204315.428524999</v>
      </c>
      <c r="G20" s="733">
        <v>12204315.428524999</v>
      </c>
      <c r="H20" s="733">
        <v>12204315.428524999</v>
      </c>
      <c r="I20" s="733">
        <v>12204315.428524999</v>
      </c>
      <c r="J20" s="733">
        <v>12204315.428524999</v>
      </c>
      <c r="K20" s="733">
        <v>12204315.428524999</v>
      </c>
      <c r="L20" s="733">
        <v>12204315.428524999</v>
      </c>
      <c r="M20" s="733">
        <v>12204315.428524999</v>
      </c>
      <c r="N20" s="108">
        <f t="shared" si="0"/>
        <v>12204315.428525001</v>
      </c>
      <c r="O20" s="745">
        <v>146451785.14229998</v>
      </c>
      <c r="P20" s="733">
        <v>154286955.64741305</v>
      </c>
      <c r="Q20" s="735">
        <v>163436172.11730465</v>
      </c>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493150854.82267344</v>
      </c>
      <c r="O21" s="475">
        <v>0</v>
      </c>
      <c r="P21" s="430">
        <f>SUM(P6:P10)+SUM(P12:P20)</f>
        <v>6418414037.2331886</v>
      </c>
      <c r="Q21" s="513">
        <f>SUM(Q6:Q10)+SUM(Q12:Q20)</f>
        <v>6984491485.5156384</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v>43824298.416666649</v>
      </c>
      <c r="D24" s="996">
        <v>43824298.416666649</v>
      </c>
      <c r="E24" s="996">
        <v>43824298.416666649</v>
      </c>
      <c r="F24" s="996">
        <v>43824298.416666649</v>
      </c>
      <c r="G24" s="996">
        <v>43824298.416666649</v>
      </c>
      <c r="H24" s="996">
        <v>43824298.416666649</v>
      </c>
      <c r="I24" s="996">
        <v>43824298.416666649</v>
      </c>
      <c r="J24" s="996">
        <v>43824298.416666649</v>
      </c>
      <c r="K24" s="996">
        <v>43824298.416666649</v>
      </c>
      <c r="L24" s="996">
        <v>43824298.416666649</v>
      </c>
      <c r="M24" s="996">
        <v>43824298.416666649</v>
      </c>
      <c r="N24" s="997">
        <f t="shared" si="1"/>
        <v>43824298.416666746</v>
      </c>
      <c r="O24" s="998">
        <v>525891580.99999982</v>
      </c>
      <c r="P24" s="996">
        <v>380796576</v>
      </c>
      <c r="Q24" s="999">
        <v>332115854.69999999</v>
      </c>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43824298.416666649</v>
      </c>
      <c r="D33" s="73">
        <f t="shared" ref="D33:Q33" si="2">SUM(D21:D29)+SUM(D31:D32)</f>
        <v>43824298.416666649</v>
      </c>
      <c r="E33" s="73">
        <f t="shared" si="2"/>
        <v>43824298.416666649</v>
      </c>
      <c r="F33" s="73">
        <f t="shared" si="2"/>
        <v>43824298.416666649</v>
      </c>
      <c r="G33" s="73">
        <f t="shared" si="2"/>
        <v>43824298.416666649</v>
      </c>
      <c r="H33" s="73">
        <f t="shared" si="2"/>
        <v>43824298.416666649</v>
      </c>
      <c r="I33" s="73">
        <f t="shared" si="2"/>
        <v>43824298.416666649</v>
      </c>
      <c r="J33" s="73">
        <f t="shared" si="2"/>
        <v>43824298.416666649</v>
      </c>
      <c r="K33" s="73">
        <f t="shared" si="2"/>
        <v>43824298.416666649</v>
      </c>
      <c r="L33" s="73">
        <f t="shared" si="2"/>
        <v>43824298.416666649</v>
      </c>
      <c r="M33" s="73">
        <f t="shared" si="2"/>
        <v>43824298.416666649</v>
      </c>
      <c r="N33" s="320">
        <f t="shared" si="2"/>
        <v>536975153.23934019</v>
      </c>
      <c r="O33" s="74">
        <f t="shared" si="2"/>
        <v>525891580.99999982</v>
      </c>
      <c r="P33" s="73">
        <f t="shared" si="2"/>
        <v>6799210613.2331886</v>
      </c>
      <c r="Q33" s="145">
        <f t="shared" si="2"/>
        <v>7316607340.2156382</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v>122281090.33951499</v>
      </c>
      <c r="D36" s="733">
        <v>122281090.33951499</v>
      </c>
      <c r="E36" s="733">
        <v>122281090.33951499</v>
      </c>
      <c r="F36" s="733">
        <v>122281090.33951499</v>
      </c>
      <c r="G36" s="733">
        <v>122281090.33951499</v>
      </c>
      <c r="H36" s="733">
        <v>122281090.33951499</v>
      </c>
      <c r="I36" s="733">
        <v>122281090.33951499</v>
      </c>
      <c r="J36" s="733">
        <v>122281090.33951499</v>
      </c>
      <c r="K36" s="733">
        <v>122281090.33951499</v>
      </c>
      <c r="L36" s="733">
        <v>122281090.33951499</v>
      </c>
      <c r="M36" s="733">
        <v>122281090.33951499</v>
      </c>
      <c r="N36" s="108">
        <f t="shared" si="3"/>
        <v>122281090.33951497</v>
      </c>
      <c r="O36" s="745">
        <v>1467373084.0741799</v>
      </c>
      <c r="P36" s="733">
        <v>1538089742.6611965</v>
      </c>
      <c r="Q36" s="735">
        <v>1612775388.5262868</v>
      </c>
    </row>
    <row r="37" spans="1:17" ht="12.75" customHeight="1" x14ac:dyDescent="0.25">
      <c r="A37" s="39" t="s">
        <v>477</v>
      </c>
      <c r="B37" s="40"/>
      <c r="C37" s="753">
        <v>4470866.759623331</v>
      </c>
      <c r="D37" s="733">
        <v>4470866.759623331</v>
      </c>
      <c r="E37" s="733">
        <v>4470866.759623331</v>
      </c>
      <c r="F37" s="733">
        <v>4470866.759623331</v>
      </c>
      <c r="G37" s="733">
        <v>4470866.759623331</v>
      </c>
      <c r="H37" s="733">
        <v>4470866.759623331</v>
      </c>
      <c r="I37" s="733">
        <v>4470866.759623331</v>
      </c>
      <c r="J37" s="733">
        <v>4470866.759623331</v>
      </c>
      <c r="K37" s="733">
        <v>4470866.759623331</v>
      </c>
      <c r="L37" s="733">
        <v>4470866.759623331</v>
      </c>
      <c r="M37" s="733">
        <v>4470866.759623331</v>
      </c>
      <c r="N37" s="108">
        <f t="shared" si="3"/>
        <v>4470866.7596233264</v>
      </c>
      <c r="O37" s="745">
        <v>53650401.115479976</v>
      </c>
      <c r="P37" s="733">
        <v>56332921.512000009</v>
      </c>
      <c r="Q37" s="735">
        <v>59149567.587599993</v>
      </c>
    </row>
    <row r="38" spans="1:17" ht="12.75" customHeight="1" x14ac:dyDescent="0.25">
      <c r="A38" s="39" t="s">
        <v>843</v>
      </c>
      <c r="B38" s="40"/>
      <c r="C38" s="753">
        <v>10325345.272666669</v>
      </c>
      <c r="D38" s="733">
        <v>10325345.272666669</v>
      </c>
      <c r="E38" s="733">
        <v>10325345.272666669</v>
      </c>
      <c r="F38" s="733">
        <v>10325345.272666669</v>
      </c>
      <c r="G38" s="733">
        <v>10325345.272666669</v>
      </c>
      <c r="H38" s="733">
        <v>10325345.272666669</v>
      </c>
      <c r="I38" s="733">
        <v>10325345.272666669</v>
      </c>
      <c r="J38" s="733">
        <v>10325345.272666669</v>
      </c>
      <c r="K38" s="733">
        <v>10325345.272666669</v>
      </c>
      <c r="L38" s="733">
        <v>10325345.272666669</v>
      </c>
      <c r="M38" s="733">
        <v>10325345.272666669</v>
      </c>
      <c r="N38" s="108">
        <f t="shared" si="3"/>
        <v>10325345.272666678</v>
      </c>
      <c r="O38" s="745">
        <v>123904143.27200001</v>
      </c>
      <c r="P38" s="733">
        <v>34724271.9265</v>
      </c>
      <c r="Q38" s="735">
        <v>36669376.450000003</v>
      </c>
    </row>
    <row r="39" spans="1:17" ht="12.75" customHeight="1" x14ac:dyDescent="0.25">
      <c r="A39" s="39" t="s">
        <v>915</v>
      </c>
      <c r="B39" s="40"/>
      <c r="C39" s="753">
        <v>40749287.356228322</v>
      </c>
      <c r="D39" s="733">
        <v>40749287.356228322</v>
      </c>
      <c r="E39" s="733">
        <v>40749287.356228322</v>
      </c>
      <c r="F39" s="733">
        <v>40749287.356228322</v>
      </c>
      <c r="G39" s="733">
        <v>40749287.356228322</v>
      </c>
      <c r="H39" s="733">
        <v>40749287.356228322</v>
      </c>
      <c r="I39" s="733">
        <v>40749287.356228322</v>
      </c>
      <c r="J39" s="733">
        <v>40749287.356228322</v>
      </c>
      <c r="K39" s="733">
        <v>40749287.356228322</v>
      </c>
      <c r="L39" s="733">
        <v>40749287.356228322</v>
      </c>
      <c r="M39" s="733">
        <v>40749287.356228322</v>
      </c>
      <c r="N39" s="108">
        <f t="shared" si="3"/>
        <v>40749287.356228232</v>
      </c>
      <c r="O39" s="745">
        <v>488991448.27473986</v>
      </c>
      <c r="P39" s="733">
        <v>2185393029.02</v>
      </c>
      <c r="Q39" s="735">
        <v>2449680192.5023999</v>
      </c>
    </row>
    <row r="40" spans="1:17" ht="12.75" customHeight="1" x14ac:dyDescent="0.25">
      <c r="A40" s="86" t="s">
        <v>918</v>
      </c>
      <c r="B40" s="40"/>
      <c r="C40" s="753">
        <v>2649434.351666667</v>
      </c>
      <c r="D40" s="733">
        <v>2649434.351666667</v>
      </c>
      <c r="E40" s="733">
        <v>2649434.351666667</v>
      </c>
      <c r="F40" s="733">
        <v>2649434.351666667</v>
      </c>
      <c r="G40" s="733">
        <v>2649434.351666667</v>
      </c>
      <c r="H40" s="733">
        <v>2649434.351666667</v>
      </c>
      <c r="I40" s="733">
        <v>2649434.351666667</v>
      </c>
      <c r="J40" s="733">
        <v>2649434.351666667</v>
      </c>
      <c r="K40" s="733">
        <v>2649434.351666667</v>
      </c>
      <c r="L40" s="733">
        <v>2649434.351666667</v>
      </c>
      <c r="M40" s="733">
        <v>2649434.351666667</v>
      </c>
      <c r="N40" s="108">
        <f t="shared" si="3"/>
        <v>2649434.3516666666</v>
      </c>
      <c r="O40" s="745">
        <v>31793212.220000003</v>
      </c>
      <c r="P40" s="733">
        <v>830520119.36216199</v>
      </c>
      <c r="Q40" s="735">
        <v>887765284.38625491</v>
      </c>
    </row>
    <row r="41" spans="1:17" ht="12.75" customHeight="1" x14ac:dyDescent="0.25">
      <c r="A41" s="86" t="s">
        <v>920</v>
      </c>
      <c r="B41" s="40"/>
      <c r="C41" s="753">
        <v>217352007.0420146</v>
      </c>
      <c r="D41" s="733">
        <v>217352007.0420146</v>
      </c>
      <c r="E41" s="733">
        <v>217352007.0420146</v>
      </c>
      <c r="F41" s="733">
        <v>217352007.0420146</v>
      </c>
      <c r="G41" s="733">
        <v>217352007.0420146</v>
      </c>
      <c r="H41" s="733">
        <v>217352007.0420146</v>
      </c>
      <c r="I41" s="733">
        <v>217352007.0420146</v>
      </c>
      <c r="J41" s="733">
        <v>217352007.0420146</v>
      </c>
      <c r="K41" s="733">
        <v>217352007.0420146</v>
      </c>
      <c r="L41" s="733">
        <v>217352007.0420146</v>
      </c>
      <c r="M41" s="733">
        <v>217352007.0420146</v>
      </c>
      <c r="N41" s="108">
        <f t="shared" si="3"/>
        <v>217352007.0420146</v>
      </c>
      <c r="O41" s="745">
        <v>2608224084.5041752</v>
      </c>
      <c r="P41" s="733"/>
      <c r="Q41" s="735"/>
    </row>
    <row r="42" spans="1:17" ht="12.75" customHeight="1" x14ac:dyDescent="0.25">
      <c r="A42" s="86" t="s">
        <v>845</v>
      </c>
      <c r="B42" s="40"/>
      <c r="C42" s="753">
        <v>3881234.6702178656</v>
      </c>
      <c r="D42" s="733">
        <v>3881234.6702178656</v>
      </c>
      <c r="E42" s="733">
        <v>3881234.6702178656</v>
      </c>
      <c r="F42" s="733">
        <v>3881234.6702178656</v>
      </c>
      <c r="G42" s="733">
        <v>3881234.6702178656</v>
      </c>
      <c r="H42" s="733">
        <v>3881234.6702178656</v>
      </c>
      <c r="I42" s="733">
        <v>3881234.6702178656</v>
      </c>
      <c r="J42" s="733">
        <v>3881234.6702178656</v>
      </c>
      <c r="K42" s="733">
        <v>3881234.6702178656</v>
      </c>
      <c r="L42" s="733">
        <v>3881234.6702178656</v>
      </c>
      <c r="M42" s="733">
        <v>3881234.6702178656</v>
      </c>
      <c r="N42" s="108">
        <f t="shared" si="3"/>
        <v>3881234.6702178717</v>
      </c>
      <c r="O42" s="745">
        <v>46574816.042614385</v>
      </c>
      <c r="P42" s="733">
        <v>655391231.03568816</v>
      </c>
      <c r="Q42" s="735">
        <v>716382501.20211387</v>
      </c>
    </row>
    <row r="43" spans="1:17" ht="12.75" customHeight="1" x14ac:dyDescent="0.25">
      <c r="A43" s="86" t="s">
        <v>924</v>
      </c>
      <c r="B43" s="40"/>
      <c r="C43" s="753">
        <v>38648925.060212493</v>
      </c>
      <c r="D43" s="733">
        <v>38648925.060212493</v>
      </c>
      <c r="E43" s="733">
        <v>38648925.060212493</v>
      </c>
      <c r="F43" s="733">
        <v>38648925.060212493</v>
      </c>
      <c r="G43" s="733">
        <v>38648925.060212493</v>
      </c>
      <c r="H43" s="733">
        <v>38648925.060212493</v>
      </c>
      <c r="I43" s="733">
        <v>38648925.060212493</v>
      </c>
      <c r="J43" s="733">
        <v>38648925.060212493</v>
      </c>
      <c r="K43" s="733">
        <v>38648925.060212493</v>
      </c>
      <c r="L43" s="733">
        <v>38648925.060212493</v>
      </c>
      <c r="M43" s="733">
        <v>38648925.060212493</v>
      </c>
      <c r="N43" s="108">
        <f t="shared" si="3"/>
        <v>38648925.060212493</v>
      </c>
      <c r="O43" s="745">
        <v>463787100.72254992</v>
      </c>
      <c r="P43" s="733">
        <v>45862882.854920194</v>
      </c>
      <c r="Q43" s="735">
        <v>52058867.744543836</v>
      </c>
    </row>
    <row r="44" spans="1:17" ht="12.75" customHeight="1" x14ac:dyDescent="0.25">
      <c r="A44" s="86" t="s">
        <v>925</v>
      </c>
      <c r="B44" s="40"/>
      <c r="C44" s="753">
        <v>2090038.4535866675</v>
      </c>
      <c r="D44" s="733">
        <v>2090038.4535866675</v>
      </c>
      <c r="E44" s="733">
        <v>2090038.4535866675</v>
      </c>
      <c r="F44" s="733">
        <v>2090038.4535866675</v>
      </c>
      <c r="G44" s="733">
        <v>2090038.4535866675</v>
      </c>
      <c r="H44" s="733">
        <v>2090038.4535866675</v>
      </c>
      <c r="I44" s="733">
        <v>2090038.4535866675</v>
      </c>
      <c r="J44" s="733">
        <v>2090038.4535866675</v>
      </c>
      <c r="K44" s="733">
        <v>2090038.4535866675</v>
      </c>
      <c r="L44" s="733">
        <v>2090038.4535866675</v>
      </c>
      <c r="M44" s="733">
        <v>2090038.4535866675</v>
      </c>
      <c r="N44" s="108">
        <f t="shared" si="3"/>
        <v>2090038.4535866678</v>
      </c>
      <c r="O44" s="745">
        <v>25080461.44304001</v>
      </c>
      <c r="P44" s="733"/>
      <c r="Q44" s="735"/>
    </row>
    <row r="45" spans="1:17" ht="12.75" customHeight="1" x14ac:dyDescent="0.25">
      <c r="A45" s="86" t="s">
        <v>846</v>
      </c>
      <c r="B45" s="40"/>
      <c r="C45" s="753">
        <v>16048817.530329162</v>
      </c>
      <c r="D45" s="733">
        <v>16048817.530329162</v>
      </c>
      <c r="E45" s="733">
        <v>16048817.530329162</v>
      </c>
      <c r="F45" s="733">
        <v>16048817.530329162</v>
      </c>
      <c r="G45" s="733">
        <v>16048817.530329162</v>
      </c>
      <c r="H45" s="733">
        <v>16048817.530329162</v>
      </c>
      <c r="I45" s="733">
        <v>16048817.530329162</v>
      </c>
      <c r="J45" s="733">
        <v>16048817.530329162</v>
      </c>
      <c r="K45" s="733">
        <v>16048817.530329162</v>
      </c>
      <c r="L45" s="733">
        <v>16048817.530329162</v>
      </c>
      <c r="M45" s="733">
        <v>16048817.530329162</v>
      </c>
      <c r="N45" s="108">
        <f t="shared" si="3"/>
        <v>16048817.530329138</v>
      </c>
      <c r="O45" s="745">
        <v>192585810.36394995</v>
      </c>
      <c r="P45" s="733">
        <v>200227522.52318305</v>
      </c>
      <c r="Q45" s="735">
        <v>230729553.22676799</v>
      </c>
    </row>
    <row r="46" spans="1:17" ht="12.75" customHeight="1" x14ac:dyDescent="0.25">
      <c r="A46" s="88" t="s">
        <v>934</v>
      </c>
      <c r="B46" s="52">
        <f>SUM(B36:B45)</f>
        <v>0</v>
      </c>
      <c r="C46" s="475"/>
      <c r="D46" s="430"/>
      <c r="E46" s="430"/>
      <c r="F46" s="430"/>
      <c r="G46" s="430"/>
      <c r="H46" s="430"/>
      <c r="I46" s="430"/>
      <c r="J46" s="430"/>
      <c r="K46" s="430"/>
      <c r="L46" s="430"/>
      <c r="M46" s="430"/>
      <c r="N46" s="508">
        <f>SUM(N36:N45)</f>
        <v>458497046.83606064</v>
      </c>
      <c r="O46" s="475">
        <v>0</v>
      </c>
      <c r="P46" s="430">
        <f>SUM(P36:P45)</f>
        <v>5546541720.8956499</v>
      </c>
      <c r="Q46" s="513">
        <f>SUM(Q36:Q45)</f>
        <v>6045210731.625968</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v>380796576</v>
      </c>
      <c r="Q49" s="735">
        <v>332115854.69999999</v>
      </c>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v>91637534.146948785</v>
      </c>
      <c r="Q50" s="735">
        <v>13128158.489999998</v>
      </c>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458497046.83606064</v>
      </c>
      <c r="O52" s="74">
        <f t="shared" si="4"/>
        <v>0</v>
      </c>
      <c r="P52" s="73">
        <f t="shared" si="4"/>
        <v>6018975831.0425987</v>
      </c>
      <c r="Q52" s="145">
        <f t="shared" si="4"/>
        <v>6390454744.8159676</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43824298.416666649</v>
      </c>
      <c r="D54" s="50">
        <f t="shared" si="5"/>
        <v>43824298.416666649</v>
      </c>
      <c r="E54" s="50">
        <f t="shared" si="5"/>
        <v>43824298.416666649</v>
      </c>
      <c r="F54" s="50">
        <f t="shared" si="5"/>
        <v>43824298.416666649</v>
      </c>
      <c r="G54" s="50">
        <f t="shared" si="5"/>
        <v>43824298.416666649</v>
      </c>
      <c r="H54" s="50">
        <f t="shared" si="5"/>
        <v>43824298.416666649</v>
      </c>
      <c r="I54" s="50">
        <f t="shared" si="5"/>
        <v>43824298.416666649</v>
      </c>
      <c r="J54" s="50">
        <f t="shared" si="5"/>
        <v>43824298.416666649</v>
      </c>
      <c r="K54" s="50">
        <f t="shared" si="5"/>
        <v>43824298.416666649</v>
      </c>
      <c r="L54" s="50">
        <f t="shared" si="5"/>
        <v>43824298.416666649</v>
      </c>
      <c r="M54" s="50">
        <f t="shared" si="5"/>
        <v>43824298.416666649</v>
      </c>
      <c r="N54" s="110">
        <f t="shared" si="5"/>
        <v>78478106.403279543</v>
      </c>
      <c r="O54" s="51">
        <f t="shared" si="5"/>
        <v>525891580.99999982</v>
      </c>
      <c r="P54" s="50">
        <f t="shared" si="5"/>
        <v>780234782.1905899</v>
      </c>
      <c r="Q54" s="194">
        <f t="shared" si="5"/>
        <v>926152595.3996706</v>
      </c>
    </row>
    <row r="55" spans="1:17" ht="12.75" customHeight="1" x14ac:dyDescent="0.25">
      <c r="A55" s="86" t="s">
        <v>568</v>
      </c>
      <c r="B55" s="40"/>
      <c r="C55" s="753"/>
      <c r="D55" s="44">
        <f>C56</f>
        <v>43824298.416666649</v>
      </c>
      <c r="E55" s="44">
        <f t="shared" ref="E55:N55" si="6">D56</f>
        <v>87648596.833333299</v>
      </c>
      <c r="F55" s="44">
        <f t="shared" si="6"/>
        <v>131472895.24999994</v>
      </c>
      <c r="G55" s="44">
        <f t="shared" si="6"/>
        <v>175297193.6666666</v>
      </c>
      <c r="H55" s="44">
        <f t="shared" si="6"/>
        <v>219121492.08333325</v>
      </c>
      <c r="I55" s="44">
        <f t="shared" si="6"/>
        <v>262945790.49999991</v>
      </c>
      <c r="J55" s="44">
        <f t="shared" si="6"/>
        <v>306770088.91666657</v>
      </c>
      <c r="K55" s="44">
        <f t="shared" si="6"/>
        <v>350594387.33333319</v>
      </c>
      <c r="L55" s="44">
        <f t="shared" si="6"/>
        <v>394418685.74999982</v>
      </c>
      <c r="M55" s="44">
        <f t="shared" si="6"/>
        <v>438242984.16666645</v>
      </c>
      <c r="N55" s="108">
        <f t="shared" si="6"/>
        <v>482067282.58333308</v>
      </c>
      <c r="O55" s="46">
        <f>C55</f>
        <v>0</v>
      </c>
      <c r="P55" s="44">
        <f>O56</f>
        <v>525891580.99999982</v>
      </c>
      <c r="Q55" s="144">
        <f>P56</f>
        <v>1306126363.1905897</v>
      </c>
    </row>
    <row r="56" spans="1:17" ht="12.75" customHeight="1" x14ac:dyDescent="0.25">
      <c r="A56" s="321" t="s">
        <v>669</v>
      </c>
      <c r="B56" s="176"/>
      <c r="C56" s="299">
        <f>C54+C55</f>
        <v>43824298.416666649</v>
      </c>
      <c r="D56" s="115">
        <f>D54+D55</f>
        <v>87648596.833333299</v>
      </c>
      <c r="E56" s="115">
        <f t="shared" ref="E56:N56" si="7">E54+E55</f>
        <v>131472895.24999994</v>
      </c>
      <c r="F56" s="115">
        <f t="shared" si="7"/>
        <v>175297193.6666666</v>
      </c>
      <c r="G56" s="115">
        <f t="shared" si="7"/>
        <v>219121492.08333325</v>
      </c>
      <c r="H56" s="115">
        <f t="shared" si="7"/>
        <v>262945790.49999991</v>
      </c>
      <c r="I56" s="115">
        <f t="shared" si="7"/>
        <v>306770088.91666657</v>
      </c>
      <c r="J56" s="115">
        <f t="shared" si="7"/>
        <v>350594387.33333319</v>
      </c>
      <c r="K56" s="115">
        <f t="shared" si="7"/>
        <v>394418685.74999982</v>
      </c>
      <c r="L56" s="115">
        <f t="shared" si="7"/>
        <v>438242984.16666645</v>
      </c>
      <c r="M56" s="115">
        <f t="shared" si="7"/>
        <v>482067282.58333308</v>
      </c>
      <c r="N56" s="317">
        <f t="shared" si="7"/>
        <v>560545388.98661256</v>
      </c>
      <c r="O56" s="116">
        <f>O54+O55</f>
        <v>525891580.99999982</v>
      </c>
      <c r="P56" s="115">
        <f>P54+P55</f>
        <v>1306126363.1905897</v>
      </c>
      <c r="Q56" s="190">
        <f>Q54+Q55</f>
        <v>2232278958.5902605</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458497046.83606064</v>
      </c>
      <c r="O65" s="85">
        <f t="shared" si="8"/>
        <v>0</v>
      </c>
      <c r="P65" s="85">
        <f t="shared" si="8"/>
        <v>5546541720.8956499</v>
      </c>
    </row>
    <row r="66" spans="5:16" x14ac:dyDescent="0.25">
      <c r="E66" s="85">
        <f t="shared" ref="E66:P66" si="9">E54-E64</f>
        <v>43824298.416666649</v>
      </c>
      <c r="F66" s="85">
        <f t="shared" si="9"/>
        <v>43824298.416666649</v>
      </c>
      <c r="G66" s="85">
        <f t="shared" si="9"/>
        <v>43824298.416666649</v>
      </c>
      <c r="H66" s="85">
        <f t="shared" si="9"/>
        <v>43824298.416666649</v>
      </c>
      <c r="I66" s="85">
        <f t="shared" si="9"/>
        <v>43824298.416666649</v>
      </c>
      <c r="J66" s="85">
        <f t="shared" si="9"/>
        <v>43824298.416666649</v>
      </c>
      <c r="K66" s="85">
        <f t="shared" si="9"/>
        <v>43824298.416666649</v>
      </c>
      <c r="L66" s="85">
        <f t="shared" si="9"/>
        <v>43824298.416666649</v>
      </c>
      <c r="M66" s="85">
        <f>M54-M64</f>
        <v>43824298.416666649</v>
      </c>
      <c r="N66" s="85">
        <f>N54-N64</f>
        <v>78478106.403279543</v>
      </c>
      <c r="O66" s="85">
        <f t="shared" si="9"/>
        <v>525891580.99999982</v>
      </c>
      <c r="P66" s="85">
        <f t="shared" si="9"/>
        <v>780234782.1905899</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7" activePane="bottomRight" state="frozen"/>
      <selection pane="topRight"/>
      <selection pane="bottomLeft"/>
      <selection pane="bottomRight" activeCell="P41" sqref="P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"&amp;S71P&amp; " - "&amp;Head57</f>
        <v>KZN225 Msunduzi - Supporting Table SC10 Monthly Budget Statement  - Parent Municipality Financial Performance (revenue and expenditure)  - Q4 Fourth Quarter</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v>1177107606</v>
      </c>
      <c r="D6" s="745">
        <v>1269794594.0217998</v>
      </c>
      <c r="E6" s="733">
        <v>1269794594.0217998</v>
      </c>
      <c r="F6" s="733">
        <v>107120092.34</v>
      </c>
      <c r="G6" s="733">
        <v>1208875667.26</v>
      </c>
      <c r="H6" s="733">
        <f>E6/12*12</f>
        <v>1269794594.0217998</v>
      </c>
      <c r="I6" s="44">
        <f t="shared" ref="I6:I21" si="0">G6-H6</f>
        <v>-60918926.761799812</v>
      </c>
      <c r="J6" s="330">
        <f>IF(I6=0,"",I6/H6)</f>
        <v>-4.7975418267337464E-2</v>
      </c>
      <c r="K6" s="735">
        <f>E6</f>
        <v>1269794594.0217998</v>
      </c>
    </row>
    <row r="7" spans="1:11" ht="12.75" customHeight="1" x14ac:dyDescent="0.25">
      <c r="A7" s="39" t="str">
        <f>'C4-FinPerf RE'!A7</f>
        <v>Service charges - electricity revenue</v>
      </c>
      <c r="B7" s="169"/>
      <c r="C7" s="748">
        <v>2159912320</v>
      </c>
      <c r="D7" s="745">
        <v>2584775677.1378117</v>
      </c>
      <c r="E7" s="733">
        <v>2584775677.1378117</v>
      </c>
      <c r="F7" s="733">
        <v>182743667.75999999</v>
      </c>
      <c r="G7" s="733">
        <v>2287174629</v>
      </c>
      <c r="H7" s="733">
        <f t="shared" ref="H7:H9" si="1">E7/12*12</f>
        <v>2584775677.1378117</v>
      </c>
      <c r="I7" s="44">
        <f t="shared" si="0"/>
        <v>-297601048.13781166</v>
      </c>
      <c r="J7" s="330">
        <f t="shared" ref="J7:J22" si="2">IF(I7=0,"",I7/H7)</f>
        <v>-0.11513612216722532</v>
      </c>
      <c r="K7" s="735">
        <f>E7</f>
        <v>2584775677.1378117</v>
      </c>
    </row>
    <row r="8" spans="1:11" ht="12.75" customHeight="1" x14ac:dyDescent="0.25">
      <c r="A8" s="86" t="str">
        <f>'C4-FinPerf RE'!A8</f>
        <v>Service charges - water revenue</v>
      </c>
      <c r="B8" s="171"/>
      <c r="C8" s="748">
        <v>662849315</v>
      </c>
      <c r="D8" s="745">
        <v>722633094.82360029</v>
      </c>
      <c r="E8" s="733">
        <v>722633094.82360029</v>
      </c>
      <c r="F8" s="733">
        <v>62039267.520000003</v>
      </c>
      <c r="G8" s="733">
        <v>763835674.38999999</v>
      </c>
      <c r="H8" s="733">
        <f t="shared" si="1"/>
        <v>722633094.82360029</v>
      </c>
      <c r="I8" s="44">
        <f t="shared" si="0"/>
        <v>41202579.566399693</v>
      </c>
      <c r="J8" s="330">
        <f t="shared" si="2"/>
        <v>5.7017288388179238E-2</v>
      </c>
      <c r="K8" s="735">
        <f>E8</f>
        <v>722633094.82360029</v>
      </c>
    </row>
    <row r="9" spans="1:11" ht="12.75" customHeight="1" x14ac:dyDescent="0.25">
      <c r="A9" s="86" t="str">
        <f>'C4-FinPerf RE'!A9</f>
        <v>Service charges - sanitation revenue</v>
      </c>
      <c r="B9" s="171"/>
      <c r="C9" s="748">
        <v>172220501.91999999</v>
      </c>
      <c r="D9" s="745">
        <v>152021749.3608</v>
      </c>
      <c r="E9" s="733">
        <v>152021749.3608</v>
      </c>
      <c r="F9" s="733">
        <v>14304242.300000001</v>
      </c>
      <c r="G9" s="733">
        <v>166098890.36000001</v>
      </c>
      <c r="H9" s="733">
        <f t="shared" si="1"/>
        <v>152021749.3608</v>
      </c>
      <c r="I9" s="44">
        <f t="shared" si="0"/>
        <v>14077140.999200016</v>
      </c>
      <c r="J9" s="330">
        <f t="shared" si="2"/>
        <v>9.2599519860741178E-2</v>
      </c>
      <c r="K9" s="735">
        <f>E9</f>
        <v>152021749.3608</v>
      </c>
    </row>
    <row r="10" spans="1:11" ht="12.75" customHeight="1" x14ac:dyDescent="0.25">
      <c r="A10" s="86" t="str">
        <f>'C4-FinPerf RE'!A10</f>
        <v>Service charges - refuse revenue</v>
      </c>
      <c r="B10" s="171"/>
      <c r="C10" s="748">
        <v>109639121</v>
      </c>
      <c r="D10" s="745">
        <v>116333080.9707</v>
      </c>
      <c r="E10" s="733">
        <v>116333080.9707</v>
      </c>
      <c r="F10" s="733">
        <v>8945493.3699999992</v>
      </c>
      <c r="G10" s="733">
        <v>107024150.66</v>
      </c>
      <c r="H10" s="733">
        <f>E10/12*12</f>
        <v>116333080.9707</v>
      </c>
      <c r="I10" s="44">
        <f t="shared" si="0"/>
        <v>-9308930.3106999993</v>
      </c>
      <c r="J10" s="330">
        <f t="shared" si="2"/>
        <v>-8.0019631845257969E-2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v>43597286</v>
      </c>
      <c r="D12" s="745">
        <v>29078797.626999993</v>
      </c>
      <c r="E12" s="733">
        <v>29078797.626999993</v>
      </c>
      <c r="F12" s="733">
        <v>2044460.1</v>
      </c>
      <c r="G12" s="733">
        <v>14552295.02</v>
      </c>
      <c r="H12" s="733">
        <f t="shared" ref="H12:H14" si="3">E12/12*12</f>
        <v>29078797.626999993</v>
      </c>
      <c r="I12" s="44">
        <f t="shared" si="0"/>
        <v>-14526502.606999993</v>
      </c>
      <c r="J12" s="330">
        <f t="shared" si="2"/>
        <v>-0.49955650826194997</v>
      </c>
      <c r="K12" s="735">
        <f>E12</f>
        <v>29078797.626999993</v>
      </c>
    </row>
    <row r="13" spans="1:11" ht="12.75" customHeight="1" x14ac:dyDescent="0.25">
      <c r="A13" s="86" t="str">
        <f>'C4-FinPerf RE'!A13</f>
        <v>Interest earned - external investments</v>
      </c>
      <c r="B13" s="171"/>
      <c r="C13" s="748">
        <v>14116343.539999999</v>
      </c>
      <c r="D13" s="745">
        <v>15260422.42725</v>
      </c>
      <c r="E13" s="733">
        <v>15260422.42725</v>
      </c>
      <c r="F13" s="733">
        <v>1510115.0999999999</v>
      </c>
      <c r="G13" s="733">
        <v>8530436.1999999993</v>
      </c>
      <c r="H13" s="733">
        <f t="shared" si="3"/>
        <v>15260422.427250002</v>
      </c>
      <c r="I13" s="44">
        <f t="shared" si="0"/>
        <v>-6729986.2272500023</v>
      </c>
      <c r="J13" s="330">
        <f t="shared" si="2"/>
        <v>-0.44100916991868466</v>
      </c>
      <c r="K13" s="735">
        <f>E13</f>
        <v>15260422.42725</v>
      </c>
    </row>
    <row r="14" spans="1:11" ht="12.75" customHeight="1" x14ac:dyDescent="0.25">
      <c r="A14" s="86" t="str">
        <f>'C4-FinPerf RE'!A14</f>
        <v>Interest earned - outstanding debtors</v>
      </c>
      <c r="B14" s="171"/>
      <c r="C14" s="748">
        <v>292253612.14999998</v>
      </c>
      <c r="D14" s="745">
        <v>202457793.88559997</v>
      </c>
      <c r="E14" s="733">
        <v>202457793.88559997</v>
      </c>
      <c r="F14" s="733">
        <v>17925267.699999999</v>
      </c>
      <c r="G14" s="733">
        <v>188464305.28</v>
      </c>
      <c r="H14" s="733">
        <f t="shared" si="3"/>
        <v>202457793.88559997</v>
      </c>
      <c r="I14" s="44">
        <f t="shared" si="0"/>
        <v>-13993488.60559997</v>
      </c>
      <c r="J14" s="330">
        <f t="shared" si="2"/>
        <v>-6.9118053383052658E-2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v>13272582.050000001</v>
      </c>
      <c r="D16" s="745">
        <v>1798551.4436999999</v>
      </c>
      <c r="E16" s="733">
        <v>1798551.4436999999</v>
      </c>
      <c r="F16" s="733">
        <v>456897.83</v>
      </c>
      <c r="G16" s="733">
        <v>16980734.75</v>
      </c>
      <c r="H16" s="733">
        <f t="shared" ref="H16:H20" si="4">E16/12*12</f>
        <v>1798551.4436999999</v>
      </c>
      <c r="I16" s="44">
        <f t="shared" si="0"/>
        <v>15182183.306299999</v>
      </c>
      <c r="J16" s="330">
        <f t="shared" si="2"/>
        <v>8.4413394787680041</v>
      </c>
      <c r="K16" s="735">
        <f t="shared" ref="K16:K20" si="5">E16</f>
        <v>1798551.4436999999</v>
      </c>
    </row>
    <row r="17" spans="1:11" ht="12.75" customHeight="1" x14ac:dyDescent="0.25">
      <c r="A17" s="86" t="str">
        <f>'C4-FinPerf RE'!A17</f>
        <v>Licences and permits</v>
      </c>
      <c r="B17" s="171"/>
      <c r="C17" s="748">
        <v>604456</v>
      </c>
      <c r="D17" s="745">
        <v>1119569.0055</v>
      </c>
      <c r="E17" s="733">
        <v>1119569.0055</v>
      </c>
      <c r="F17" s="733">
        <v>82758.12</v>
      </c>
      <c r="G17" s="733">
        <v>563422.04</v>
      </c>
      <c r="H17" s="733">
        <f t="shared" si="4"/>
        <v>1119569.0055</v>
      </c>
      <c r="I17" s="44">
        <f t="shared" si="0"/>
        <v>-556146.96549999993</v>
      </c>
      <c r="J17" s="330">
        <f t="shared" si="2"/>
        <v>-0.49675094859528063</v>
      </c>
      <c r="K17" s="735">
        <f t="shared" si="5"/>
        <v>1119569.0055</v>
      </c>
    </row>
    <row r="18" spans="1:11" ht="12.75" customHeight="1" x14ac:dyDescent="0.25">
      <c r="A18" s="86" t="str">
        <f>'C4-FinPerf RE'!A18</f>
        <v>Agency services</v>
      </c>
      <c r="B18" s="171"/>
      <c r="C18" s="748">
        <v>1090372</v>
      </c>
      <c r="D18" s="745">
        <v>601902.02599999995</v>
      </c>
      <c r="E18" s="733">
        <v>601902.02599999995</v>
      </c>
      <c r="F18" s="733">
        <v>-34938</v>
      </c>
      <c r="G18" s="733">
        <v>1931382</v>
      </c>
      <c r="H18" s="733">
        <f t="shared" si="4"/>
        <v>601902.02599999995</v>
      </c>
      <c r="I18" s="44">
        <f t="shared" si="0"/>
        <v>1329479.9739999999</v>
      </c>
      <c r="J18" s="330">
        <f t="shared" si="2"/>
        <v>2.2087979713828045</v>
      </c>
      <c r="K18" s="735">
        <f t="shared" si="5"/>
        <v>601902.02599999995</v>
      </c>
    </row>
    <row r="19" spans="1:11" ht="12.75" customHeight="1" x14ac:dyDescent="0.25">
      <c r="A19" s="86" t="str">
        <f>'C4-FinPerf RE'!A19</f>
        <v>Transfers and subsidies</v>
      </c>
      <c r="B19" s="171"/>
      <c r="C19" s="748">
        <v>637128044</v>
      </c>
      <c r="D19" s="745">
        <v>675483240</v>
      </c>
      <c r="E19" s="733">
        <v>764481240</v>
      </c>
      <c r="F19" s="733">
        <v>6178809.5300000003</v>
      </c>
      <c r="G19" s="733">
        <v>751385897.5</v>
      </c>
      <c r="H19" s="733">
        <f t="shared" si="4"/>
        <v>764481240</v>
      </c>
      <c r="I19" s="44">
        <f t="shared" si="0"/>
        <v>-13095342.5</v>
      </c>
      <c r="J19" s="330">
        <f t="shared" si="2"/>
        <v>-1.7129710730377112E-2</v>
      </c>
      <c r="K19" s="735">
        <f t="shared" si="5"/>
        <v>764481240</v>
      </c>
    </row>
    <row r="20" spans="1:11" ht="12.75" customHeight="1" x14ac:dyDescent="0.25">
      <c r="A20" s="86" t="str">
        <f>'C4-FinPerf RE'!A20</f>
        <v>Other revenue</v>
      </c>
      <c r="B20" s="171"/>
      <c r="C20" s="748">
        <v>76138861.760000005</v>
      </c>
      <c r="D20" s="745">
        <v>146451785.14229998</v>
      </c>
      <c r="E20" s="733">
        <v>146451785.14229998</v>
      </c>
      <c r="F20" s="733">
        <v>3125416.48</v>
      </c>
      <c r="G20" s="733">
        <v>55438226.299999997</v>
      </c>
      <c r="H20" s="733">
        <f t="shared" si="4"/>
        <v>146451785.14229998</v>
      </c>
      <c r="I20" s="44">
        <f t="shared" si="0"/>
        <v>-91013558.842299983</v>
      </c>
      <c r="J20" s="330">
        <f t="shared" si="2"/>
        <v>-0.62145749028505592</v>
      </c>
      <c r="K20" s="735">
        <f t="shared" si="5"/>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6">SUM(C6:C10)+SUM(C12:C21)</f>
        <v>5359930421.4200001</v>
      </c>
      <c r="D22" s="74">
        <f t="shared" si="6"/>
        <v>5917810257.8720617</v>
      </c>
      <c r="E22" s="73">
        <f t="shared" si="6"/>
        <v>6006808257.8720617</v>
      </c>
      <c r="F22" s="73">
        <f t="shared" si="6"/>
        <v>406441550.15000004</v>
      </c>
      <c r="G22" s="73">
        <f t="shared" si="6"/>
        <v>5570855710.7600002</v>
      </c>
      <c r="H22" s="73">
        <f t="shared" si="6"/>
        <v>6006808257.8720617</v>
      </c>
      <c r="I22" s="73">
        <f>G22-H22</f>
        <v>-435952547.1120615</v>
      </c>
      <c r="J22" s="331">
        <f t="shared" si="2"/>
        <v>-7.2576404705566477E-2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v>1345486985</v>
      </c>
      <c r="D25" s="745">
        <v>1467373084.0741799</v>
      </c>
      <c r="E25" s="733">
        <v>1478324304.2495084</v>
      </c>
      <c r="F25" s="733">
        <v>206346887.97000009</v>
      </c>
      <c r="G25" s="733">
        <v>1430291148.0699992</v>
      </c>
      <c r="H25" s="733">
        <f t="shared" ref="H25:H34" si="7">E25/12*12</f>
        <v>1478324304.2495084</v>
      </c>
      <c r="I25" s="44">
        <f t="shared" ref="I25:I44" si="8">G25-H25</f>
        <v>-48033156.179509163</v>
      </c>
      <c r="J25" s="330">
        <f t="shared" ref="J25:J44" si="9">IF(I25=0,"",I25/H25)</f>
        <v>-3.2491623144823997E-2</v>
      </c>
      <c r="K25" s="735">
        <f t="shared" ref="K25:K34" si="10">E25</f>
        <v>1478324304.2495084</v>
      </c>
    </row>
    <row r="26" spans="1:11" ht="12.75" customHeight="1" x14ac:dyDescent="0.25">
      <c r="A26" s="39" t="str">
        <f>'C4-FinPerf RE'!A26</f>
        <v>Remuneration of councillors</v>
      </c>
      <c r="B26" s="169"/>
      <c r="C26" s="748">
        <v>43759322</v>
      </c>
      <c r="D26" s="745">
        <v>53650401.115479976</v>
      </c>
      <c r="E26" s="733">
        <v>53650401.439999998</v>
      </c>
      <c r="F26" s="733">
        <v>4030889.5199999991</v>
      </c>
      <c r="G26" s="733">
        <v>51641247.129999988</v>
      </c>
      <c r="H26" s="733">
        <f t="shared" si="7"/>
        <v>53650401.439999998</v>
      </c>
      <c r="I26" s="44">
        <f t="shared" si="8"/>
        <v>-2009154.3100000098</v>
      </c>
      <c r="J26" s="330">
        <f t="shared" si="9"/>
        <v>-3.7449007949119456E-2</v>
      </c>
      <c r="K26" s="735">
        <f t="shared" si="10"/>
        <v>53650401.439999998</v>
      </c>
    </row>
    <row r="27" spans="1:11" ht="12.75" customHeight="1" x14ac:dyDescent="0.25">
      <c r="A27" s="39" t="str">
        <f>'C4-FinPerf RE'!A27</f>
        <v>Debt impairment</v>
      </c>
      <c r="B27" s="171"/>
      <c r="C27" s="748">
        <v>567918578</v>
      </c>
      <c r="D27" s="745">
        <v>123904143.27200001</v>
      </c>
      <c r="E27" s="733">
        <v>123904143.27200001</v>
      </c>
      <c r="F27" s="733">
        <v>293002583.73000002</v>
      </c>
      <c r="G27" s="733">
        <v>384120628.07999998</v>
      </c>
      <c r="H27" s="733">
        <f t="shared" si="7"/>
        <v>123904143.27200001</v>
      </c>
      <c r="I27" s="44">
        <f t="shared" si="8"/>
        <v>260216484.80799997</v>
      </c>
      <c r="J27" s="330">
        <f t="shared" si="9"/>
        <v>2.1001435297991682</v>
      </c>
      <c r="K27" s="735">
        <f t="shared" si="10"/>
        <v>123904143.27200001</v>
      </c>
    </row>
    <row r="28" spans="1:11" ht="12.75" customHeight="1" x14ac:dyDescent="0.25">
      <c r="A28" s="39" t="str">
        <f>'C4-FinPerf RE'!A28</f>
        <v>Depreciation &amp; asset impairment</v>
      </c>
      <c r="B28" s="171"/>
      <c r="C28" s="748">
        <v>417614093.69000024</v>
      </c>
      <c r="D28" s="745">
        <v>488991448.27473986</v>
      </c>
      <c r="E28" s="733">
        <v>482441448.55050021</v>
      </c>
      <c r="F28" s="733">
        <v>35197769.920000002</v>
      </c>
      <c r="G28" s="733">
        <v>423414820.87999994</v>
      </c>
      <c r="H28" s="733">
        <f t="shared" si="7"/>
        <v>482441448.55050027</v>
      </c>
      <c r="I28" s="44">
        <f t="shared" si="8"/>
        <v>-59026627.670500338</v>
      </c>
      <c r="J28" s="330">
        <f t="shared" si="9"/>
        <v>-0.12234982679835321</v>
      </c>
      <c r="K28" s="735">
        <f t="shared" si="10"/>
        <v>482441448.55050021</v>
      </c>
    </row>
    <row r="29" spans="1:11" ht="12.75" customHeight="1" x14ac:dyDescent="0.25">
      <c r="A29" s="39" t="str">
        <f>'C4-FinPerf RE'!A29</f>
        <v>Finance charges</v>
      </c>
      <c r="B29" s="171"/>
      <c r="C29" s="748">
        <v>43716970</v>
      </c>
      <c r="D29" s="745">
        <v>31793212.220000003</v>
      </c>
      <c r="E29" s="733">
        <v>36505334.219999969</v>
      </c>
      <c r="F29" s="733">
        <v>2639492.14</v>
      </c>
      <c r="G29" s="733">
        <v>35856007.330000006</v>
      </c>
      <c r="H29" s="733">
        <f t="shared" si="7"/>
        <v>36505334.219999969</v>
      </c>
      <c r="I29" s="44">
        <f t="shared" si="8"/>
        <v>-649326.88999996334</v>
      </c>
      <c r="J29" s="330">
        <f t="shared" si="9"/>
        <v>-1.7787178336370918E-2</v>
      </c>
      <c r="K29" s="735">
        <f t="shared" si="10"/>
        <v>36505334.219999969</v>
      </c>
    </row>
    <row r="30" spans="1:11" ht="12.75" customHeight="1" x14ac:dyDescent="0.25">
      <c r="A30" s="39" t="str">
        <f>'C4-FinPerf RE'!A30</f>
        <v>Bulk purchases</v>
      </c>
      <c r="B30" s="171"/>
      <c r="C30" s="748">
        <v>1755899645.74</v>
      </c>
      <c r="D30" s="745">
        <v>2608224084.5041752</v>
      </c>
      <c r="E30" s="733">
        <v>2608224084.5041752</v>
      </c>
      <c r="F30" s="733">
        <v>321581009.31999999</v>
      </c>
      <c r="G30" s="733">
        <v>2680850092.8299999</v>
      </c>
      <c r="H30" s="733">
        <f t="shared" si="7"/>
        <v>2608224084.5041752</v>
      </c>
      <c r="I30" s="44">
        <f t="shared" si="8"/>
        <v>72626008.325824738</v>
      </c>
      <c r="J30" s="330">
        <f t="shared" si="9"/>
        <v>2.7845003332844762E-2</v>
      </c>
      <c r="K30" s="735">
        <f t="shared" si="10"/>
        <v>2608224084.5041752</v>
      </c>
    </row>
    <row r="31" spans="1:11" ht="12.75" customHeight="1" x14ac:dyDescent="0.25">
      <c r="A31" s="39" t="str">
        <f>'C4-FinPerf RE'!A31</f>
        <v>Other materials</v>
      </c>
      <c r="B31" s="171"/>
      <c r="C31" s="748">
        <v>792388542.00999999</v>
      </c>
      <c r="D31" s="745">
        <v>46574816.042614385</v>
      </c>
      <c r="E31" s="733">
        <v>63710306.143800952</v>
      </c>
      <c r="F31" s="733">
        <v>9455141.6100000013</v>
      </c>
      <c r="G31" s="733">
        <v>58058091.519999966</v>
      </c>
      <c r="H31" s="733">
        <f t="shared" si="7"/>
        <v>63710306.143800952</v>
      </c>
      <c r="I31" s="44">
        <f t="shared" si="8"/>
        <v>-5652214.6238009855</v>
      </c>
      <c r="J31" s="330">
        <f t="shared" si="9"/>
        <v>-8.8717429971900227E-2</v>
      </c>
      <c r="K31" s="735">
        <f t="shared" si="10"/>
        <v>63710306.143800952</v>
      </c>
    </row>
    <row r="32" spans="1:11" ht="12.75" customHeight="1" x14ac:dyDescent="0.25">
      <c r="A32" s="39" t="str">
        <f>'C4-FinPerf RE'!A32</f>
        <v>Contracted services</v>
      </c>
      <c r="B32" s="171"/>
      <c r="C32" s="748">
        <v>31504387.066664875</v>
      </c>
      <c r="D32" s="745">
        <v>463787100.72254992</v>
      </c>
      <c r="E32" s="733">
        <v>491460211.0508498</v>
      </c>
      <c r="F32" s="733">
        <v>90595072.299999923</v>
      </c>
      <c r="G32" s="733">
        <v>542232571.21999967</v>
      </c>
      <c r="H32" s="733">
        <f t="shared" si="7"/>
        <v>491460211.0508498</v>
      </c>
      <c r="I32" s="44">
        <f t="shared" si="8"/>
        <v>50772360.169149876</v>
      </c>
      <c r="J32" s="330">
        <f t="shared" si="9"/>
        <v>0.10330919783025247</v>
      </c>
      <c r="K32" s="735">
        <f t="shared" si="10"/>
        <v>491460211.0508498</v>
      </c>
    </row>
    <row r="33" spans="1:11" ht="12.75" customHeight="1" x14ac:dyDescent="0.25">
      <c r="A33" s="39" t="str">
        <f>'C4-FinPerf RE'!A33</f>
        <v>Transfers and subsidies</v>
      </c>
      <c r="B33" s="171"/>
      <c r="C33" s="748">
        <v>25306678</v>
      </c>
      <c r="D33" s="745">
        <v>25080461.44304001</v>
      </c>
      <c r="E33" s="733">
        <v>58680462</v>
      </c>
      <c r="F33" s="733">
        <v>-25967455.409999996</v>
      </c>
      <c r="G33" s="733">
        <v>16215843.770000003</v>
      </c>
      <c r="H33" s="733">
        <f t="shared" si="7"/>
        <v>58680462</v>
      </c>
      <c r="I33" s="44">
        <f t="shared" si="8"/>
        <v>-42464618.229999997</v>
      </c>
      <c r="J33" s="330">
        <f t="shared" si="9"/>
        <v>-0.72365855316544703</v>
      </c>
      <c r="K33" s="735">
        <f t="shared" si="10"/>
        <v>58680462</v>
      </c>
    </row>
    <row r="34" spans="1:11" ht="12.75" customHeight="1" x14ac:dyDescent="0.25">
      <c r="A34" s="39" t="str">
        <f>'C4-FinPerf RE'!A34</f>
        <v>Other expenditure</v>
      </c>
      <c r="B34" s="171"/>
      <c r="C34" s="748">
        <v>495112178.04333192</v>
      </c>
      <c r="D34" s="745">
        <v>192585810.36394995</v>
      </c>
      <c r="E34" s="733">
        <v>166189163.49623623</v>
      </c>
      <c r="F34" s="733">
        <v>20294905.149999991</v>
      </c>
      <c r="G34" s="733">
        <v>149362979.87999997</v>
      </c>
      <c r="H34" s="733">
        <f t="shared" si="7"/>
        <v>166189163.49623623</v>
      </c>
      <c r="I34" s="44">
        <f t="shared" si="8"/>
        <v>-16826183.616236269</v>
      </c>
      <c r="J34" s="330">
        <f t="shared" si="9"/>
        <v>-0.10124717678488911</v>
      </c>
      <c r="K34" s="735">
        <f t="shared" si="10"/>
        <v>166189163.49623623</v>
      </c>
    </row>
    <row r="35" spans="1:11" ht="12.75" customHeight="1" x14ac:dyDescent="0.25">
      <c r="A35" s="39" t="str">
        <f>'C4-FinPerf RE'!A35</f>
        <v>Losses</v>
      </c>
      <c r="B35" s="169"/>
      <c r="C35" s="748">
        <v>47941458</v>
      </c>
      <c r="D35" s="745">
        <v>0</v>
      </c>
      <c r="E35" s="733"/>
      <c r="F35" s="733"/>
      <c r="G35" s="733"/>
      <c r="H35" s="733"/>
      <c r="I35" s="44">
        <f t="shared" si="8"/>
        <v>0</v>
      </c>
      <c r="J35" s="330" t="str">
        <f t="shared" si="9"/>
        <v/>
      </c>
      <c r="K35" s="735"/>
    </row>
    <row r="36" spans="1:11" ht="12.75" customHeight="1" x14ac:dyDescent="0.25">
      <c r="A36" s="350" t="s">
        <v>488</v>
      </c>
      <c r="B36" s="569"/>
      <c r="C36" s="243">
        <f t="shared" ref="C36:H36" si="11">SUM(C25:C35)</f>
        <v>5566648837.5499973</v>
      </c>
      <c r="D36" s="74">
        <f t="shared" si="11"/>
        <v>5501964562.0327282</v>
      </c>
      <c r="E36" s="73">
        <f t="shared" si="11"/>
        <v>5563089858.9270697</v>
      </c>
      <c r="F36" s="73">
        <f t="shared" si="11"/>
        <v>957176296.25000012</v>
      </c>
      <c r="G36" s="73">
        <f t="shared" si="11"/>
        <v>5772043430.7099981</v>
      </c>
      <c r="H36" s="73">
        <f t="shared" si="11"/>
        <v>5563089858.9270697</v>
      </c>
      <c r="I36" s="73">
        <f t="shared" si="8"/>
        <v>208953571.78292847</v>
      </c>
      <c r="J36" s="331">
        <f t="shared" si="9"/>
        <v>3.756070404788113E-2</v>
      </c>
      <c r="K36" s="145">
        <f>SUM(K25:K35)</f>
        <v>5563089858.9270697</v>
      </c>
    </row>
    <row r="37" spans="1:11" ht="5.0999999999999996" customHeight="1" x14ac:dyDescent="0.25">
      <c r="A37" s="42"/>
      <c r="B37" s="169"/>
      <c r="C37" s="134"/>
      <c r="D37" s="46"/>
      <c r="E37" s="44"/>
      <c r="F37" s="44"/>
      <c r="G37" s="44"/>
      <c r="H37" s="44"/>
      <c r="I37" s="44">
        <f t="shared" si="8"/>
        <v>0</v>
      </c>
      <c r="J37" s="330"/>
      <c r="K37" s="144"/>
    </row>
    <row r="38" spans="1:11" ht="12.75" customHeight="1" x14ac:dyDescent="0.25">
      <c r="A38" s="87" t="str">
        <f>'C4-FinPerf RE'!A38</f>
        <v>Surplus/(Deficit)</v>
      </c>
      <c r="B38" s="169"/>
      <c r="C38" s="134">
        <f t="shared" ref="C38:H38" si="12">C22-C36</f>
        <v>-206718416.12999725</v>
      </c>
      <c r="D38" s="46">
        <f t="shared" si="12"/>
        <v>415845695.83933353</v>
      </c>
      <c r="E38" s="44">
        <f t="shared" si="12"/>
        <v>443718398.94499207</v>
      </c>
      <c r="F38" s="44">
        <f t="shared" si="12"/>
        <v>-550734746.10000014</v>
      </c>
      <c r="G38" s="44">
        <f t="shared" si="12"/>
        <v>-201187719.9499979</v>
      </c>
      <c r="H38" s="44">
        <f t="shared" si="12"/>
        <v>443718398.94499207</v>
      </c>
      <c r="I38" s="44">
        <f t="shared" si="8"/>
        <v>-644906118.89498997</v>
      </c>
      <c r="J38" s="330">
        <f t="shared" si="9"/>
        <v>-1.4534130665493077</v>
      </c>
      <c r="K38" s="144">
        <f>K22-K36</f>
        <v>443718398.94499207</v>
      </c>
    </row>
    <row r="39" spans="1:11" ht="21.6" customHeight="1" x14ac:dyDescent="0.25">
      <c r="A39" s="111" t="str">
        <f>'C4-FinPerf RE'!A39</f>
        <v>Transfers and subsidies - capital (monetary allocations) (National / Provincial and District)</v>
      </c>
      <c r="B39" s="169"/>
      <c r="C39" s="748">
        <v>430113748.5</v>
      </c>
      <c r="D39" s="745">
        <v>525891580.99999982</v>
      </c>
      <c r="E39" s="733">
        <v>525891580.99999982</v>
      </c>
      <c r="F39" s="733">
        <v>181114382.68000001</v>
      </c>
      <c r="G39" s="733">
        <v>589628625.70000005</v>
      </c>
      <c r="H39" s="733">
        <f>E39/12*12</f>
        <v>525891580.99999976</v>
      </c>
      <c r="I39" s="44">
        <f t="shared" si="8"/>
        <v>63737044.700000286</v>
      </c>
      <c r="J39" s="330">
        <f t="shared" si="9"/>
        <v>0.1211980701018302</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8"/>
        <v>0</v>
      </c>
      <c r="J40" s="330" t="str">
        <f t="shared" si="9"/>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8"/>
        <v>0</v>
      </c>
      <c r="J41" s="330" t="str">
        <f t="shared" si="9"/>
        <v/>
      </c>
      <c r="K41" s="735"/>
    </row>
    <row r="42" spans="1:11" ht="25.5" x14ac:dyDescent="0.25">
      <c r="A42" s="570" t="str">
        <f>'C4-FinPerf RE'!A42</f>
        <v>Surplus/(Deficit) after capital transfers &amp; contributions</v>
      </c>
      <c r="B42" s="309"/>
      <c r="C42" s="571">
        <f>C38+SUM(C39:C41)</f>
        <v>223395332.37000275</v>
      </c>
      <c r="D42" s="572">
        <f t="shared" ref="D42:K42" si="13">D38+SUM(D39:D41)</f>
        <v>941737276.8393333</v>
      </c>
      <c r="E42" s="514">
        <f t="shared" si="13"/>
        <v>969609979.94499183</v>
      </c>
      <c r="F42" s="514">
        <f t="shared" si="13"/>
        <v>-369620363.42000014</v>
      </c>
      <c r="G42" s="514">
        <f t="shared" si="13"/>
        <v>388440905.75000215</v>
      </c>
      <c r="H42" s="514">
        <f t="shared" si="13"/>
        <v>969609979.94499183</v>
      </c>
      <c r="I42" s="514">
        <f t="shared" si="8"/>
        <v>-581169074.19498968</v>
      </c>
      <c r="J42" s="515">
        <f t="shared" si="9"/>
        <v>-0.59938437744623951</v>
      </c>
      <c r="K42" s="573">
        <f t="shared" si="13"/>
        <v>969609979.94499183</v>
      </c>
    </row>
    <row r="43" spans="1:11" ht="12.75" customHeight="1" x14ac:dyDescent="0.25">
      <c r="A43" s="111" t="str">
        <f>'C4-FinPerf RE'!A43</f>
        <v>Taxation</v>
      </c>
      <c r="B43" s="169"/>
      <c r="C43" s="748"/>
      <c r="D43" s="745"/>
      <c r="E43" s="733"/>
      <c r="F43" s="733"/>
      <c r="G43" s="733"/>
      <c r="H43" s="733"/>
      <c r="I43" s="44">
        <f t="shared" si="8"/>
        <v>0</v>
      </c>
      <c r="J43" s="330" t="str">
        <f t="shared" si="9"/>
        <v/>
      </c>
      <c r="K43" s="735"/>
    </row>
    <row r="44" spans="1:11" ht="12.75" customHeight="1" x14ac:dyDescent="0.25">
      <c r="A44" s="53" t="str">
        <f>'C4-FinPerf RE'!A44</f>
        <v>Surplus/(Deficit) after taxation</v>
      </c>
      <c r="B44" s="236"/>
      <c r="C44" s="112">
        <f t="shared" ref="C44:H44" si="14">C42-C43</f>
        <v>223395332.37000275</v>
      </c>
      <c r="D44" s="56">
        <f t="shared" si="14"/>
        <v>941737276.8393333</v>
      </c>
      <c r="E44" s="55">
        <f t="shared" si="14"/>
        <v>969609979.94499183</v>
      </c>
      <c r="F44" s="55">
        <f t="shared" si="14"/>
        <v>-369620363.42000014</v>
      </c>
      <c r="G44" s="55">
        <f t="shared" si="14"/>
        <v>388440905.75000215</v>
      </c>
      <c r="H44" s="55">
        <f t="shared" si="14"/>
        <v>969609979.94499183</v>
      </c>
      <c r="I44" s="55">
        <f t="shared" si="8"/>
        <v>-581169074.19498968</v>
      </c>
      <c r="J44" s="332">
        <f t="shared" si="9"/>
        <v>-0.59938437744623951</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"&amp;S71Q&amp; " - "&amp;Head57</f>
        <v>KZN225 Msunduzi - Supporting Table SC11 Monthly Budget Statement - summary of municipal entities - Q4 Fourth Quarter</v>
      </c>
      <c r="B1" s="1056"/>
      <c r="C1" s="1056"/>
      <c r="D1" s="1056"/>
      <c r="E1" s="1056"/>
      <c r="F1" s="1056"/>
      <c r="G1" s="1056"/>
      <c r="H1" s="1056"/>
      <c r="I1" s="1056"/>
      <c r="J1" s="1056"/>
      <c r="K1" s="1056"/>
    </row>
    <row r="2" spans="1:11" x14ac:dyDescent="0.25">
      <c r="A2" s="1045" t="str">
        <f>desc</f>
        <v>Description</v>
      </c>
      <c r="B2" s="1038" t="str">
        <f>head27</f>
        <v>Ref</v>
      </c>
      <c r="C2" s="158" t="str">
        <f>Head1</f>
        <v>2019/20</v>
      </c>
      <c r="D2" s="1040" t="str">
        <f>Head2</f>
        <v>Budget Year 2020/21</v>
      </c>
      <c r="E2" s="1041"/>
      <c r="F2" s="1041"/>
      <c r="G2" s="1041"/>
      <c r="H2" s="1041"/>
      <c r="I2" s="1041"/>
      <c r="J2" s="1041"/>
      <c r="K2" s="1042"/>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sqref="A1:XFD1048576"/>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6" t="str">
        <f>muni&amp; " - "&amp;S71R&amp; " - "&amp;Head57</f>
        <v>KZN225 Msunduzi - Supporting Table SC12 Consolidated Monthly Budget Statement - capital expenditure trend  - Q4 Fourth Quarter</v>
      </c>
      <c r="B1" s="1056"/>
      <c r="C1" s="1056"/>
      <c r="D1" s="1056"/>
      <c r="E1" s="1056"/>
      <c r="F1" s="1056"/>
      <c r="G1" s="1056"/>
      <c r="H1" s="1056"/>
      <c r="I1" s="1056"/>
      <c r="J1" s="1056"/>
    </row>
    <row r="2" spans="1:10" x14ac:dyDescent="0.25">
      <c r="A2" s="1045" t="s">
        <v>887</v>
      </c>
      <c r="B2" s="139" t="str">
        <f>Head1</f>
        <v>2019/20</v>
      </c>
      <c r="C2" s="1040" t="str">
        <f>Head2</f>
        <v>Budget Year 2020/21</v>
      </c>
      <c r="D2" s="1041"/>
      <c r="E2" s="1041"/>
      <c r="F2" s="1041"/>
      <c r="G2" s="1041"/>
      <c r="H2" s="1041"/>
      <c r="I2" s="1041"/>
      <c r="J2" s="1042"/>
    </row>
    <row r="3" spans="1:10" ht="38.25" x14ac:dyDescent="0.25">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30125543.949999999</v>
      </c>
      <c r="F14" s="408">
        <f t="shared" si="3"/>
        <v>315959671.13999999</v>
      </c>
      <c r="G14" s="408">
        <f t="shared" si="4"/>
        <v>435668685.75</v>
      </c>
      <c r="H14" s="44">
        <f t="shared" si="0"/>
        <v>119709014.61000001</v>
      </c>
      <c r="I14" s="124">
        <f t="shared" si="1"/>
        <v>0.27477075705801979</v>
      </c>
      <c r="J14" s="674">
        <f t="shared" si="2"/>
        <v>0.54392193220648521</v>
      </c>
    </row>
    <row r="15" spans="1:10" ht="12.75" customHeight="1" x14ac:dyDescent="0.25">
      <c r="A15" s="39" t="s">
        <v>912</v>
      </c>
      <c r="B15" s="748">
        <v>66093583.333333336</v>
      </c>
      <c r="C15" s="753">
        <v>48407631.75</v>
      </c>
      <c r="D15" s="733"/>
      <c r="E15" s="733">
        <v>69137296.340000004</v>
      </c>
      <c r="F15" s="408">
        <f t="shared" si="3"/>
        <v>385096967.48000002</v>
      </c>
      <c r="G15" s="408">
        <f t="shared" si="4"/>
        <v>484076317.5</v>
      </c>
      <c r="H15" s="44">
        <f t="shared" si="0"/>
        <v>98979350.019999981</v>
      </c>
      <c r="I15" s="124">
        <f t="shared" si="1"/>
        <v>0.20447054822094241</v>
      </c>
      <c r="J15" s="675">
        <f t="shared" si="2"/>
        <v>0.66294120981588134</v>
      </c>
    </row>
    <row r="16" spans="1:10" ht="12.75" customHeight="1" x14ac:dyDescent="0.25">
      <c r="A16" s="39" t="s">
        <v>913</v>
      </c>
      <c r="B16" s="748">
        <v>66093583.333333336</v>
      </c>
      <c r="C16" s="753">
        <v>48407631.75</v>
      </c>
      <c r="D16" s="733"/>
      <c r="E16" s="733">
        <v>35226258.649999999</v>
      </c>
      <c r="F16" s="408">
        <f t="shared" si="3"/>
        <v>420323226.13</v>
      </c>
      <c r="G16" s="408">
        <f t="shared" si="4"/>
        <v>532483949.25</v>
      </c>
      <c r="H16" s="44">
        <f t="shared" si="0"/>
        <v>112160723.12</v>
      </c>
      <c r="I16" s="124">
        <f t="shared" si="1"/>
        <v>0.21063681502133091</v>
      </c>
      <c r="J16" s="675">
        <f t="shared" si="2"/>
        <v>0.72358291956377996</v>
      </c>
    </row>
    <row r="17" spans="1:10" ht="12.75" customHeight="1" x14ac:dyDescent="0.25">
      <c r="A17" s="247" t="s">
        <v>914</v>
      </c>
      <c r="B17" s="749">
        <v>66093583.333333336</v>
      </c>
      <c r="C17" s="753">
        <v>48407631.75</v>
      </c>
      <c r="D17" s="751"/>
      <c r="E17" s="751">
        <v>265762096.38999999</v>
      </c>
      <c r="F17" s="409">
        <f t="shared" si="3"/>
        <v>686085322.51999998</v>
      </c>
      <c r="G17" s="409">
        <f t="shared" si="4"/>
        <v>580891581</v>
      </c>
      <c r="H17" s="99">
        <f>IF(F17="",0,G17-F17)</f>
        <v>-105193741.51999998</v>
      </c>
      <c r="I17" s="324">
        <f>IF(F17="","",IF(H17=0,"",H17/G17))</f>
        <v>-0.18109014652770458</v>
      </c>
      <c r="J17" s="676">
        <f>IF(F17="","",F17/$C$18)</f>
        <v>1.1810901465277046</v>
      </c>
    </row>
    <row r="18" spans="1:10" ht="12.75" customHeight="1" x14ac:dyDescent="0.25">
      <c r="A18" s="94" t="s">
        <v>565</v>
      </c>
      <c r="B18" s="244">
        <f>SUM(B6:B17)</f>
        <v>793123000.00000012</v>
      </c>
      <c r="C18" s="265">
        <f>SUM(C6:C17)</f>
        <v>580891581</v>
      </c>
      <c r="D18" s="76">
        <f>SUM(D6:D17)</f>
        <v>0</v>
      </c>
      <c r="E18" s="76">
        <f>SUM(E6:E17)</f>
        <v>686085322.51999998</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6" t="s">
        <v>642</v>
      </c>
      <c r="B1" s="1007"/>
      <c r="C1" s="1007"/>
      <c r="D1" s="1008"/>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Q4 Fourth Quarter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1" t="s">
        <v>751</v>
      </c>
      <c r="B72" s="1012"/>
      <c r="C72" s="1012"/>
      <c r="D72" s="1013"/>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9" t="s">
        <v>794</v>
      </c>
      <c r="B76" s="1010"/>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N29" sqref="N29"/>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"&amp;S71Sa&amp; " - "&amp;Head57</f>
        <v>KZN225 Msunduzi - Supporting Table SC13a Consolidated Monthly Budget Statement - capital expenditure on new assets by asset class - Q4 Fourth Quarter</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66348980.489999995</v>
      </c>
      <c r="G7" s="102">
        <f t="shared" si="0"/>
        <v>288913769.43000001</v>
      </c>
      <c r="H7" s="102">
        <f t="shared" si="0"/>
        <v>0</v>
      </c>
      <c r="I7" s="101">
        <f t="shared" ref="I7:I37" si="1">H7-G7</f>
        <v>-288913769.43000001</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36782652.18</v>
      </c>
      <c r="G8" s="608">
        <f t="shared" si="3"/>
        <v>165122921.67000002</v>
      </c>
      <c r="H8" s="608">
        <f t="shared" si="3"/>
        <v>0</v>
      </c>
      <c r="I8" s="258">
        <f t="shared" si="1"/>
        <v>-165122921.67000002</v>
      </c>
      <c r="J8" s="575" t="e">
        <f t="shared" si="2"/>
        <v>#DIV/0!</v>
      </c>
      <c r="K8" s="610">
        <f>SUM(K9:K12)</f>
        <v>0</v>
      </c>
    </row>
    <row r="9" spans="1:11" ht="12.75" customHeight="1" x14ac:dyDescent="0.25">
      <c r="A9" s="574" t="s">
        <v>168</v>
      </c>
      <c r="B9" s="169"/>
      <c r="C9" s="748"/>
      <c r="D9" s="745">
        <v>10845780.900911285</v>
      </c>
      <c r="E9" s="733"/>
      <c r="F9" s="733">
        <v>9479974.2199999988</v>
      </c>
      <c r="G9" s="733">
        <v>14498042.219999999</v>
      </c>
      <c r="H9" s="733"/>
      <c r="I9" s="258">
        <f t="shared" si="1"/>
        <v>-14498042.219999999</v>
      </c>
      <c r="J9" s="575" t="e">
        <f t="shared" si="2"/>
        <v>#DIV/0!</v>
      </c>
      <c r="K9" s="735">
        <f>E9</f>
        <v>0</v>
      </c>
    </row>
    <row r="10" spans="1:11" ht="12.75" customHeight="1" x14ac:dyDescent="0.25">
      <c r="A10" s="574" t="s">
        <v>1217</v>
      </c>
      <c r="B10" s="169"/>
      <c r="C10" s="748"/>
      <c r="D10" s="745"/>
      <c r="E10" s="733"/>
      <c r="F10" s="733">
        <v>27302677.960000001</v>
      </c>
      <c r="G10" s="733">
        <v>150624879.45000002</v>
      </c>
      <c r="H10" s="733"/>
      <c r="I10" s="258">
        <f t="shared" si="1"/>
        <v>-150624879.45000002</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4653205.6400000006</v>
      </c>
      <c r="H17" s="408">
        <f t="shared" si="5"/>
        <v>0</v>
      </c>
      <c r="I17" s="258">
        <f t="shared" si="1"/>
        <v>-4653205.6400000006</v>
      </c>
      <c r="J17" s="575" t="e">
        <f t="shared" si="2"/>
        <v>#DIV/0!</v>
      </c>
      <c r="K17" s="642">
        <f>SUM(K18:K26)</f>
        <v>0</v>
      </c>
    </row>
    <row r="18" spans="1:11" ht="12.75" customHeight="1" x14ac:dyDescent="0.25">
      <c r="A18" s="574" t="s">
        <v>1225</v>
      </c>
      <c r="B18" s="169"/>
      <c r="C18" s="748"/>
      <c r="D18" s="745">
        <v>133651704.65022203</v>
      </c>
      <c r="E18" s="733"/>
      <c r="F18" s="733"/>
      <c r="G18" s="733">
        <v>4653205.6400000006</v>
      </c>
      <c r="H18" s="733">
        <f>E18/12*8</f>
        <v>0</v>
      </c>
      <c r="I18" s="258">
        <f t="shared" si="1"/>
        <v>-4653205.6400000006</v>
      </c>
      <c r="J18" s="575" t="e">
        <f t="shared" si="2"/>
        <v>#DIV/0!</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21603222.84</v>
      </c>
      <c r="G27" s="408">
        <f t="shared" si="6"/>
        <v>74239163.400000006</v>
      </c>
      <c r="H27" s="408">
        <f t="shared" si="6"/>
        <v>0</v>
      </c>
      <c r="I27" s="258">
        <f t="shared" si="1"/>
        <v>-74239163.400000006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3114795</v>
      </c>
      <c r="G30" s="733">
        <v>17016562.460000001</v>
      </c>
      <c r="H30" s="733"/>
      <c r="I30" s="258">
        <f t="shared" si="1"/>
        <v>-17016562.460000001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18488427.84</v>
      </c>
      <c r="G34" s="733">
        <v>57222600.939999998</v>
      </c>
      <c r="H34" s="733"/>
      <c r="I34" s="258">
        <f t="shared" si="1"/>
        <v>-57222600.939999998</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7963105.4699999997</v>
      </c>
      <c r="G38" s="408">
        <f t="shared" si="7"/>
        <v>44898478.719999999</v>
      </c>
      <c r="H38" s="408">
        <f t="shared" si="7"/>
        <v>0</v>
      </c>
      <c r="I38" s="258">
        <f t="shared" ref="I38:I44" si="8">H38-G38</f>
        <v>-44898478.719999999</v>
      </c>
      <c r="J38" s="575" t="e">
        <f t="shared" ref="J38:J44" si="9">IF(I38=0,"",I38/H38)</f>
        <v>#DIV/0!</v>
      </c>
      <c r="K38" s="642">
        <f>SUM(K39:K44)</f>
        <v>0</v>
      </c>
    </row>
    <row r="39" spans="1:11" ht="12.75" customHeight="1" x14ac:dyDescent="0.25">
      <c r="A39" s="574" t="s">
        <v>1244</v>
      </c>
      <c r="B39" s="169"/>
      <c r="C39" s="748"/>
      <c r="D39" s="745"/>
      <c r="E39" s="733"/>
      <c r="F39" s="733">
        <v>3940121.09</v>
      </c>
      <c r="G39" s="733">
        <v>21546131.539999999</v>
      </c>
      <c r="H39" s="733"/>
      <c r="I39" s="258">
        <f t="shared" si="8"/>
        <v>-21546131.539999999</v>
      </c>
      <c r="J39" s="575" t="e">
        <f t="shared" si="9"/>
        <v>#DIV/0!</v>
      </c>
      <c r="K39" s="735"/>
    </row>
    <row r="40" spans="1:11" ht="12.75" customHeight="1" x14ac:dyDescent="0.25">
      <c r="A40" s="574" t="s">
        <v>135</v>
      </c>
      <c r="B40" s="169"/>
      <c r="C40" s="748"/>
      <c r="D40" s="745">
        <v>48520598.76723469</v>
      </c>
      <c r="E40" s="733" t="s">
        <v>1475</v>
      </c>
      <c r="F40" s="733"/>
      <c r="G40" s="733"/>
      <c r="H40" s="733"/>
      <c r="I40" s="258">
        <f>H40-G40</f>
        <v>0</v>
      </c>
      <c r="J40" s="575" t="str">
        <f>IF(I40=0,"",I40/H40)</f>
        <v/>
      </c>
      <c r="K40" s="735" t="str">
        <f>E40</f>
        <v xml:space="preserve"> </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v>4022984.38</v>
      </c>
      <c r="G42" s="733">
        <v>23352347.18</v>
      </c>
      <c r="H42" s="733"/>
      <c r="I42" s="258">
        <f>H42-G42</f>
        <v>-23352347.18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5940937.3399999999</v>
      </c>
      <c r="G75" s="578">
        <f t="shared" si="17"/>
        <v>13158955.789999999</v>
      </c>
      <c r="H75" s="578">
        <f t="shared" si="17"/>
        <v>2500000</v>
      </c>
      <c r="I75" s="578">
        <f>H75-G75</f>
        <v>-10658955.789999999</v>
      </c>
      <c r="J75" s="579">
        <f t="shared" si="16"/>
        <v>-4.2635823159999999</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3772610.12</v>
      </c>
      <c r="G76" s="408">
        <f>SUM(G77:G98)</f>
        <v>10563092.959999999</v>
      </c>
      <c r="H76" s="408">
        <f t="shared" si="18"/>
        <v>2500000</v>
      </c>
      <c r="I76" s="258">
        <f t="shared" ref="I76:I87" si="19">H76-G76</f>
        <v>-8063092.959999999</v>
      </c>
      <c r="J76" s="575">
        <f t="shared" ref="J76:J87" si="20">IF(I76=0,"",I76/H76)</f>
        <v>-3.2252371839999996</v>
      </c>
      <c r="K76" s="642">
        <f>SUM(K77:K98)</f>
        <v>2500000</v>
      </c>
    </row>
    <row r="77" spans="1:11" ht="12.75" customHeight="1" x14ac:dyDescent="0.25">
      <c r="A77" s="574" t="s">
        <v>1269</v>
      </c>
      <c r="B77" s="169"/>
      <c r="C77" s="748"/>
      <c r="D77" s="753">
        <v>37464350.795641594</v>
      </c>
      <c r="E77" s="748"/>
      <c r="F77" s="733">
        <v>36626.39</v>
      </c>
      <c r="G77" s="733">
        <v>3074185.84</v>
      </c>
      <c r="H77" s="733"/>
      <c r="I77" s="44" t="e">
        <f>H77-#REF!</f>
        <v>#REF!</v>
      </c>
      <c r="J77" s="124" t="e">
        <f t="shared" si="20"/>
        <v>#REF!</v>
      </c>
      <c r="K77" s="735">
        <f>E77</f>
        <v>0</v>
      </c>
    </row>
    <row r="78" spans="1:11" ht="12.75" customHeight="1" x14ac:dyDescent="0.25">
      <c r="A78" s="574" t="s">
        <v>1270</v>
      </c>
      <c r="B78" s="169"/>
      <c r="C78" s="748"/>
      <c r="D78" s="753"/>
      <c r="E78" s="733"/>
      <c r="F78" s="733"/>
      <c r="G78" s="733">
        <v>250081.48999999993</v>
      </c>
      <c r="H78" s="733"/>
      <c r="I78" s="44">
        <f t="shared" si="19"/>
        <v>-250081.48999999993</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v>1953039.02</v>
      </c>
      <c r="G90" s="733">
        <v>1953039.02</v>
      </c>
      <c r="H90" s="733"/>
      <c r="I90" s="44">
        <f t="shared" si="21"/>
        <v>-1953039.02</v>
      </c>
      <c r="J90" s="124" t="e">
        <f t="shared" si="22"/>
        <v>#DIV/0!</v>
      </c>
      <c r="K90" s="735"/>
    </row>
    <row r="91" spans="1:11" ht="12.75" customHeight="1" x14ac:dyDescent="0.25">
      <c r="A91" s="574" t="s">
        <v>1280</v>
      </c>
      <c r="B91" s="169"/>
      <c r="C91" s="748"/>
      <c r="D91" s="753"/>
      <c r="E91" s="733"/>
      <c r="F91" s="733">
        <v>787950</v>
      </c>
      <c r="G91" s="733">
        <v>787950</v>
      </c>
      <c r="H91" s="733"/>
      <c r="I91" s="44">
        <f t="shared" si="21"/>
        <v>-787950</v>
      </c>
      <c r="J91" s="124" t="e">
        <f t="shared" si="22"/>
        <v>#DIV/0!</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v>859944.71</v>
      </c>
      <c r="G93" s="733">
        <v>2324672.89</v>
      </c>
      <c r="H93" s="733"/>
      <c r="I93" s="44">
        <f t="shared" si="21"/>
        <v>-2324672.89</v>
      </c>
      <c r="J93" s="124" t="e">
        <f t="shared" si="22"/>
        <v>#DIV/0!</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v>135050</v>
      </c>
      <c r="G96" s="733">
        <v>2173163.77</v>
      </c>
      <c r="H96" s="733">
        <f>E96/12*12</f>
        <v>2500000</v>
      </c>
      <c r="I96" s="44">
        <f t="shared" si="21"/>
        <v>326836.23</v>
      </c>
      <c r="J96" s="124">
        <f t="shared" si="22"/>
        <v>0.13073449199999998</v>
      </c>
      <c r="K96" s="735">
        <f>E96</f>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2168327.2200000002</v>
      </c>
      <c r="G99" s="408">
        <f t="shared" si="23"/>
        <v>2595862.83</v>
      </c>
      <c r="H99" s="408">
        <f t="shared" si="23"/>
        <v>0</v>
      </c>
      <c r="I99" s="258">
        <f t="shared" si="21"/>
        <v>-2595862.83</v>
      </c>
      <c r="J99" s="575" t="e">
        <f t="shared" si="22"/>
        <v>#DIV/0!</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v>2168327.2200000002</v>
      </c>
      <c r="G101" s="733">
        <v>2595862.83</v>
      </c>
      <c r="H101" s="733"/>
      <c r="I101" s="44">
        <f t="shared" si="21"/>
        <v>-2595862.83</v>
      </c>
      <c r="J101" s="124" t="e">
        <f t="shared" si="22"/>
        <v>#DIV/0!</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9604587.4499999993</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v>9604587.4499999993</v>
      </c>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15304425.33</v>
      </c>
      <c r="G117" s="578">
        <f t="shared" si="28"/>
        <v>59046781.330000006</v>
      </c>
      <c r="H117" s="578">
        <f t="shared" si="28"/>
        <v>0</v>
      </c>
      <c r="I117" s="578">
        <f t="shared" si="21"/>
        <v>-59046781.330000006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0</v>
      </c>
      <c r="H118" s="408">
        <f t="shared" si="29"/>
        <v>0</v>
      </c>
      <c r="I118" s="258">
        <f t="shared" si="21"/>
        <v>0</v>
      </c>
      <c r="J118" s="575" t="str">
        <f t="shared" si="22"/>
        <v/>
      </c>
      <c r="K118" s="642">
        <f>SUM(K119:K129)</f>
        <v>0</v>
      </c>
    </row>
    <row r="119" spans="1:11" ht="12.75" customHeight="1" x14ac:dyDescent="0.25">
      <c r="A119" s="574" t="s">
        <v>1299</v>
      </c>
      <c r="B119" s="169"/>
      <c r="C119" s="748"/>
      <c r="D119" s="753">
        <v>3800000</v>
      </c>
      <c r="E119" s="733"/>
      <c r="F119" s="733"/>
      <c r="G119" s="733"/>
      <c r="H119" s="733">
        <f>E119/12*9</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15304425.33</v>
      </c>
      <c r="G130" s="408">
        <f t="shared" si="31"/>
        <v>59046781.330000006</v>
      </c>
      <c r="H130" s="408">
        <f t="shared" si="31"/>
        <v>0</v>
      </c>
      <c r="I130" s="258">
        <f t="shared" si="21"/>
        <v>-59046781.330000006</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15304425.33</v>
      </c>
      <c r="G132" s="733">
        <v>59046781.330000006</v>
      </c>
      <c r="H132" s="733"/>
      <c r="I132" s="44">
        <f t="shared" si="21"/>
        <v>-59046781.330000006</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315095.43</v>
      </c>
      <c r="G138" s="942">
        <f t="shared" si="33"/>
        <v>523018.19</v>
      </c>
      <c r="H138" s="942">
        <f t="shared" si="33"/>
        <v>-21787999.999999993</v>
      </c>
      <c r="I138" s="942">
        <f t="shared" ref="I138:I146" si="34">H138-G138</f>
        <v>-22311018.189999994</v>
      </c>
      <c r="J138" s="324">
        <f t="shared" si="30"/>
        <v>1.0240048737837342</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315095.43</v>
      </c>
      <c r="G140" s="408">
        <f t="shared" si="35"/>
        <v>523018.19</v>
      </c>
      <c r="H140" s="408">
        <f t="shared" si="35"/>
        <v>-21787999.999999993</v>
      </c>
      <c r="I140" s="258">
        <f t="shared" si="34"/>
        <v>-22311018.189999994</v>
      </c>
      <c r="J140" s="575">
        <f t="shared" si="30"/>
        <v>1.0240048737837342</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v>315095.43</v>
      </c>
      <c r="G144" s="733">
        <v>523018.19</v>
      </c>
      <c r="H144" s="733">
        <f>E144/12*12</f>
        <v>-21787999.999999993</v>
      </c>
      <c r="I144" s="44">
        <f t="shared" si="34"/>
        <v>-22311018.189999994</v>
      </c>
      <c r="J144" s="124">
        <f t="shared" si="30"/>
        <v>1.0240048737837342</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10869.6</v>
      </c>
      <c r="G148" s="578">
        <f t="shared" si="36"/>
        <v>5855730.5800000001</v>
      </c>
      <c r="H148" s="578">
        <f t="shared" si="36"/>
        <v>5109707</v>
      </c>
      <c r="I148" s="578">
        <f>H148-G148</f>
        <v>-746023.58000000007</v>
      </c>
      <c r="J148" s="324">
        <f>IF(I148=0,"",I148/H148)</f>
        <v>-0.14600124429835215</v>
      </c>
      <c r="K148" s="580">
        <f>SUM(K149)</f>
        <v>5109707</v>
      </c>
    </row>
    <row r="149" spans="1:12" ht="12.75" customHeight="1" x14ac:dyDescent="0.25">
      <c r="A149" s="518" t="s">
        <v>1321</v>
      </c>
      <c r="B149" s="169"/>
      <c r="C149" s="748"/>
      <c r="D149" s="753">
        <v>30489488.019469682</v>
      </c>
      <c r="E149" s="733">
        <v>5109707</v>
      </c>
      <c r="F149" s="733">
        <v>10869.6</v>
      </c>
      <c r="G149" s="733">
        <v>5855730.5800000001</v>
      </c>
      <c r="H149" s="733">
        <f>E149/12*12</f>
        <v>5109707</v>
      </c>
      <c r="I149" s="44">
        <f>H149-G149</f>
        <v>-746023.58000000007</v>
      </c>
      <c r="J149" s="124">
        <f>IF(I149=0,"",I149/H149)</f>
        <v>-0.14600124429835215</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1551738.6599999284</v>
      </c>
      <c r="D151" s="577">
        <f t="shared" si="37"/>
        <v>26221102.404387362</v>
      </c>
      <c r="E151" s="578">
        <f t="shared" si="37"/>
        <v>7929416</v>
      </c>
      <c r="F151" s="578">
        <f t="shared" si="37"/>
        <v>0</v>
      </c>
      <c r="G151" s="578">
        <f t="shared" si="37"/>
        <v>170000</v>
      </c>
      <c r="H151" s="578">
        <f t="shared" si="37"/>
        <v>7929416</v>
      </c>
      <c r="I151" s="578">
        <f>H151-G151</f>
        <v>7759416</v>
      </c>
      <c r="J151" s="324">
        <f>IF(I151=0,"",I151/H151)</f>
        <v>0.97856084231171625</v>
      </c>
      <c r="K151" s="580">
        <f>SUM(K152)</f>
        <v>7929416</v>
      </c>
    </row>
    <row r="152" spans="1:12" ht="12.75" customHeight="1" x14ac:dyDescent="0.25">
      <c r="A152" s="518" t="s">
        <v>1322</v>
      </c>
      <c r="B152" s="169"/>
      <c r="C152" s="748">
        <v>1551738.6599999284</v>
      </c>
      <c r="D152" s="753">
        <v>26221102.404387362</v>
      </c>
      <c r="E152" s="733">
        <v>7929416</v>
      </c>
      <c r="F152" s="733"/>
      <c r="G152" s="733">
        <v>170000</v>
      </c>
      <c r="H152" s="733">
        <f>E152/12*12</f>
        <v>7929416</v>
      </c>
      <c r="I152" s="44">
        <f>H152-G152</f>
        <v>7759416</v>
      </c>
      <c r="J152" s="124">
        <f>IF(I152=0,"",I152/H152)</f>
        <v>0.97856084231171625</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3956830.3700000006</v>
      </c>
      <c r="D154" s="577">
        <f t="shared" si="38"/>
        <v>34478166.653423235</v>
      </c>
      <c r="E154" s="578">
        <f t="shared" si="38"/>
        <v>7422034</v>
      </c>
      <c r="F154" s="578">
        <f t="shared" si="38"/>
        <v>6809236.6400000006</v>
      </c>
      <c r="G154" s="578">
        <f t="shared" si="38"/>
        <v>20075464.140000001</v>
      </c>
      <c r="H154" s="578">
        <f t="shared" si="38"/>
        <v>7422034</v>
      </c>
      <c r="I154" s="578">
        <f>H154-G154</f>
        <v>-12653430.140000001</v>
      </c>
      <c r="J154" s="324">
        <f>IF(I154=0,"",I154/H154)</f>
        <v>-1.7048466956632105</v>
      </c>
      <c r="K154" s="580">
        <f>SUM(K155)</f>
        <v>7422034</v>
      </c>
    </row>
    <row r="155" spans="1:12" ht="12.75" customHeight="1" x14ac:dyDescent="0.25">
      <c r="A155" s="518" t="s">
        <v>1323</v>
      </c>
      <c r="B155" s="169"/>
      <c r="C155" s="748">
        <v>3956830.3700000006</v>
      </c>
      <c r="D155" s="753">
        <v>34478166.653423235</v>
      </c>
      <c r="E155" s="733">
        <v>7422034</v>
      </c>
      <c r="F155" s="733">
        <v>6809236.6400000006</v>
      </c>
      <c r="G155" s="733">
        <v>20075464.140000001</v>
      </c>
      <c r="H155" s="733">
        <f>E155/12*12</f>
        <v>7422034</v>
      </c>
      <c r="I155" s="44">
        <f>H155-G155</f>
        <v>-12653430.140000001</v>
      </c>
      <c r="J155" s="124">
        <f>IF(I155=0,"",I155/H155)</f>
        <v>-1.7048466956632105</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5994977.6200000001</v>
      </c>
      <c r="D157" s="577">
        <f t="shared" si="39"/>
        <v>0</v>
      </c>
      <c r="E157" s="578">
        <f t="shared" si="39"/>
        <v>22236833</v>
      </c>
      <c r="F157" s="578">
        <f t="shared" si="39"/>
        <v>9417205.5999999996</v>
      </c>
      <c r="G157" s="578">
        <f t="shared" si="39"/>
        <v>20522659.829999998</v>
      </c>
      <c r="H157" s="578">
        <f t="shared" si="39"/>
        <v>22236833</v>
      </c>
      <c r="I157" s="578">
        <f>H157-G157</f>
        <v>1714173.1700000018</v>
      </c>
      <c r="J157" s="324">
        <f>IF(I157=0,"",I157/H157)</f>
        <v>7.7087109032118101E-2</v>
      </c>
      <c r="K157" s="580">
        <f>SUM(K158)</f>
        <v>22236833</v>
      </c>
    </row>
    <row r="158" spans="1:12" ht="12.75" customHeight="1" x14ac:dyDescent="0.25">
      <c r="A158" s="518" t="s">
        <v>1324</v>
      </c>
      <c r="B158" s="169"/>
      <c r="C158" s="748">
        <v>5994977.6200000001</v>
      </c>
      <c r="D158" s="753"/>
      <c r="E158" s="733">
        <v>22236833</v>
      </c>
      <c r="F158" s="733">
        <v>9417205.5999999996</v>
      </c>
      <c r="G158" s="733">
        <v>20522659.829999998</v>
      </c>
      <c r="H158" s="733">
        <f>E158/12*12</f>
        <v>22236833</v>
      </c>
      <c r="I158" s="44">
        <f>H158-G158</f>
        <v>1714173.1700000018</v>
      </c>
      <c r="J158" s="124">
        <f>IF(I158=0,"",I158/H158)</f>
        <v>7.7087109032118101E-2</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E161/12*10</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21108134.099999931</v>
      </c>
      <c r="D166" s="271">
        <f t="shared" si="42"/>
        <v>456241581</v>
      </c>
      <c r="E166" s="55">
        <f t="shared" si="42"/>
        <v>23409990.000000007</v>
      </c>
      <c r="F166" s="55">
        <f t="shared" si="42"/>
        <v>104146750.42999999</v>
      </c>
      <c r="G166" s="55">
        <f t="shared" si="42"/>
        <v>408266379.28999996</v>
      </c>
      <c r="H166" s="55">
        <f t="shared" si="42"/>
        <v>23409990.000000007</v>
      </c>
      <c r="I166" s="55">
        <f>H166-G166</f>
        <v>-384856389.28999996</v>
      </c>
      <c r="J166" s="290">
        <f>IF(I166=0,"",I166/H166)</f>
        <v>-16.439835697922121</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-59610022.050000012</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"&amp;S71Sb&amp; " - "&amp;Head57</f>
        <v>KZN225 Msunduzi - Supporting Table SC13b Consolidated Monthly Budget Statement - capital expenditure on renewal of existing assets by asset class - Q4 Fourth Quarter</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26361142.27</v>
      </c>
      <c r="G7" s="102">
        <f t="shared" si="0"/>
        <v>66270060.39000009</v>
      </c>
      <c r="H7" s="102">
        <f t="shared" si="0"/>
        <v>196263971</v>
      </c>
      <c r="I7" s="101">
        <f t="shared" ref="I7:I133" si="1">H7-G7</f>
        <v>129993910.60999991</v>
      </c>
      <c r="J7" s="579">
        <f t="shared" ref="J7:J136" si="2">IF(I7=0,"",I7/H7)</f>
        <v>0.66234220141199485</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23946872.989999998</v>
      </c>
      <c r="G8" s="608">
        <f t="shared" si="3"/>
        <v>50403832.500000089</v>
      </c>
      <c r="H8" s="608">
        <f t="shared" si="3"/>
        <v>39449298</v>
      </c>
      <c r="I8" s="258">
        <f t="shared" si="1"/>
        <v>-10954534.500000089</v>
      </c>
      <c r="J8" s="575">
        <f t="shared" si="2"/>
        <v>-0.27768642422990869</v>
      </c>
      <c r="K8" s="610">
        <f>SUM(K9:K12)</f>
        <v>39449298</v>
      </c>
    </row>
    <row r="9" spans="1:11" ht="12.75" customHeight="1" x14ac:dyDescent="0.25">
      <c r="A9" s="574" t="s">
        <v>168</v>
      </c>
      <c r="B9" s="169"/>
      <c r="C9" s="748"/>
      <c r="D9" s="745">
        <v>5914548.2937818393</v>
      </c>
      <c r="E9" s="733">
        <v>39449298</v>
      </c>
      <c r="F9" s="733">
        <v>23946872.989999998</v>
      </c>
      <c r="G9" s="733">
        <v>50403832.500000089</v>
      </c>
      <c r="H9" s="733">
        <f>E9/12*12</f>
        <v>39449298</v>
      </c>
      <c r="I9" s="258">
        <f t="shared" si="1"/>
        <v>-10954534.500000089</v>
      </c>
      <c r="J9" s="575">
        <f t="shared" si="2"/>
        <v>-0.27768642422990869</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10334330</v>
      </c>
      <c r="I17" s="258">
        <f t="shared" si="1"/>
        <v>10334330</v>
      </c>
      <c r="J17" s="575">
        <f t="shared" si="2"/>
        <v>1</v>
      </c>
      <c r="K17" s="642">
        <f>SUM(K18:K26)</f>
        <v>10334330</v>
      </c>
    </row>
    <row r="18" spans="1:11" ht="12.75" customHeight="1" x14ac:dyDescent="0.25">
      <c r="A18" s="574" t="s">
        <v>1225</v>
      </c>
      <c r="B18" s="169"/>
      <c r="C18" s="748"/>
      <c r="D18" s="745"/>
      <c r="E18" s="733">
        <v>10334330</v>
      </c>
      <c r="F18" s="733"/>
      <c r="G18" s="733"/>
      <c r="H18" s="733">
        <f>E18/12*12</f>
        <v>10334330</v>
      </c>
      <c r="I18" s="258">
        <f t="shared" si="1"/>
        <v>10334330</v>
      </c>
      <c r="J18" s="575">
        <f t="shared" si="2"/>
        <v>1</v>
      </c>
      <c r="K18" s="735">
        <f>E18</f>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0</v>
      </c>
      <c r="G27" s="408">
        <f t="shared" si="6"/>
        <v>0</v>
      </c>
      <c r="H27" s="408">
        <f t="shared" si="6"/>
        <v>68660397</v>
      </c>
      <c r="I27" s="258">
        <f t="shared" si="1"/>
        <v>68660397</v>
      </c>
      <c r="J27" s="575">
        <f t="shared" si="2"/>
        <v>1</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E30/12*12</f>
        <v>68660397</v>
      </c>
      <c r="I30" s="258">
        <f t="shared" si="1"/>
        <v>68660397</v>
      </c>
      <c r="J30" s="575">
        <f t="shared" si="2"/>
        <v>1</v>
      </c>
      <c r="K30" s="735">
        <f>E30</f>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2414269.2799999998</v>
      </c>
      <c r="G38" s="408">
        <f t="shared" si="7"/>
        <v>15866227.889999997</v>
      </c>
      <c r="H38" s="408">
        <f t="shared" si="7"/>
        <v>32720000</v>
      </c>
      <c r="I38" s="258">
        <f t="shared" si="1"/>
        <v>16853772.110000003</v>
      </c>
      <c r="J38" s="575">
        <f t="shared" si="2"/>
        <v>0.51509083465770178</v>
      </c>
      <c r="K38" s="642">
        <f>SUM(K39:K44)</f>
        <v>32720000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v>30000000</v>
      </c>
      <c r="F40" s="733">
        <v>2414269.2799999998</v>
      </c>
      <c r="G40" s="733">
        <v>15866227.889999997</v>
      </c>
      <c r="H40" s="733">
        <f t="shared" ref="H40:H41" si="8">E40/12*12</f>
        <v>30000000</v>
      </c>
      <c r="I40" s="258">
        <f t="shared" si="1"/>
        <v>14133772.110000003</v>
      </c>
      <c r="J40" s="575">
        <f t="shared" si="2"/>
        <v>0.4711257370000001</v>
      </c>
      <c r="K40" s="735">
        <f t="shared" ref="K40:K41" si="9">E40</f>
        <v>30000000</v>
      </c>
    </row>
    <row r="41" spans="1:11" ht="12.75" customHeight="1" x14ac:dyDescent="0.25">
      <c r="A41" s="574" t="s">
        <v>1245</v>
      </c>
      <c r="B41" s="169"/>
      <c r="C41" s="748"/>
      <c r="D41" s="745"/>
      <c r="E41" s="733">
        <v>2720000</v>
      </c>
      <c r="F41" s="733"/>
      <c r="G41" s="733"/>
      <c r="H41" s="733">
        <f t="shared" si="8"/>
        <v>2720000</v>
      </c>
      <c r="I41" s="258">
        <f t="shared" si="1"/>
        <v>2720000</v>
      </c>
      <c r="J41" s="575">
        <f t="shared" si="2"/>
        <v>1</v>
      </c>
      <c r="K41" s="735">
        <f t="shared" si="9"/>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1556460.0773110106</v>
      </c>
      <c r="E45" s="408">
        <f t="shared" si="10"/>
        <v>45099946</v>
      </c>
      <c r="F45" s="408">
        <f t="shared" si="10"/>
        <v>0</v>
      </c>
      <c r="G45" s="408">
        <f t="shared" si="10"/>
        <v>0</v>
      </c>
      <c r="H45" s="408">
        <f t="shared" si="10"/>
        <v>45099946</v>
      </c>
      <c r="I45" s="258">
        <f t="shared" si="1"/>
        <v>45099946</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E46/12*12</f>
        <v>45099946</v>
      </c>
      <c r="I46" s="258">
        <f t="shared" si="1"/>
        <v>45099946</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0</v>
      </c>
      <c r="G53" s="408">
        <f t="shared" si="11"/>
        <v>0</v>
      </c>
      <c r="H53" s="408">
        <f t="shared" si="11"/>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0</v>
      </c>
      <c r="E75" s="578">
        <f t="shared" si="14"/>
        <v>12300000</v>
      </c>
      <c r="F75" s="578">
        <f t="shared" si="14"/>
        <v>243073.41999999998</v>
      </c>
      <c r="G75" s="578">
        <f t="shared" si="14"/>
        <v>5246056.67</v>
      </c>
      <c r="H75" s="578">
        <f t="shared" si="14"/>
        <v>12300000</v>
      </c>
      <c r="I75" s="578">
        <f t="shared" si="1"/>
        <v>7053943.3300000001</v>
      </c>
      <c r="J75" s="579">
        <f t="shared" si="2"/>
        <v>0.57349132764227639</v>
      </c>
      <c r="K75" s="580">
        <f>+K76+K99</f>
        <v>12300000</v>
      </c>
    </row>
    <row r="76" spans="1:11" ht="12.75" customHeight="1" x14ac:dyDescent="0.25">
      <c r="A76" s="518" t="s">
        <v>1268</v>
      </c>
      <c r="B76" s="169"/>
      <c r="C76" s="648">
        <f t="shared" ref="C76:H76" si="15">SUM(C77:C98)</f>
        <v>0</v>
      </c>
      <c r="D76" s="649">
        <f t="shared" si="15"/>
        <v>0</v>
      </c>
      <c r="E76" s="408">
        <f t="shared" si="15"/>
        <v>12300000</v>
      </c>
      <c r="F76" s="408">
        <f t="shared" si="15"/>
        <v>0</v>
      </c>
      <c r="G76" s="408">
        <f t="shared" si="15"/>
        <v>1178169.95</v>
      </c>
      <c r="H76" s="408">
        <f t="shared" si="15"/>
        <v>12300000</v>
      </c>
      <c r="I76" s="258">
        <f t="shared" si="1"/>
        <v>11121830.050000001</v>
      </c>
      <c r="J76" s="575">
        <f t="shared" si="2"/>
        <v>0.90421382520325211</v>
      </c>
      <c r="K76" s="642">
        <f>SUM(K77:K98)</f>
        <v>12300000</v>
      </c>
    </row>
    <row r="77" spans="1:11" ht="12.75" customHeight="1" x14ac:dyDescent="0.25">
      <c r="A77" s="574" t="s">
        <v>1269</v>
      </c>
      <c r="B77" s="169"/>
      <c r="C77" s="748"/>
      <c r="D77" s="753"/>
      <c r="E77" s="733">
        <v>12300000</v>
      </c>
      <c r="F77" s="733"/>
      <c r="G77" s="733"/>
      <c r="H77" s="733">
        <f>E77/12*12</f>
        <v>12300000</v>
      </c>
      <c r="I77" s="44">
        <f t="shared" si="1"/>
        <v>12300000</v>
      </c>
      <c r="J77" s="124">
        <f t="shared" si="2"/>
        <v>1</v>
      </c>
      <c r="K77" s="735">
        <f>E77</f>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0</v>
      </c>
      <c r="E99" s="408">
        <f t="shared" si="16"/>
        <v>0</v>
      </c>
      <c r="F99" s="408">
        <f t="shared" si="16"/>
        <v>243073.41999999998</v>
      </c>
      <c r="G99" s="408">
        <f t="shared" si="16"/>
        <v>4067886.7199999997</v>
      </c>
      <c r="H99" s="408">
        <f t="shared" si="16"/>
        <v>0</v>
      </c>
      <c r="I99" s="258">
        <f t="shared" si="1"/>
        <v>-4067886.7199999997</v>
      </c>
      <c r="J99" s="575" t="e">
        <f t="shared" si="2"/>
        <v>#DIV/0!</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v>243073.41999999998</v>
      </c>
      <c r="G101" s="733">
        <v>4067886.7199999997</v>
      </c>
      <c r="H101" s="733"/>
      <c r="I101" s="44">
        <f>H101-G101</f>
        <v>-4067886.7199999997</v>
      </c>
      <c r="J101" s="124" t="e">
        <f>IF(I101=0,"",I101/H101)</f>
        <v>#DIV/0!</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7">SUM(C104:C108)</f>
        <v>208367675.97999999</v>
      </c>
      <c r="D103" s="264">
        <f t="shared" si="17"/>
        <v>0</v>
      </c>
      <c r="E103" s="99">
        <f t="shared" si="17"/>
        <v>4450000</v>
      </c>
      <c r="F103" s="99">
        <f t="shared" si="17"/>
        <v>0</v>
      </c>
      <c r="G103" s="99">
        <f t="shared" si="17"/>
        <v>0</v>
      </c>
      <c r="H103" s="99">
        <f t="shared" si="17"/>
        <v>4450000</v>
      </c>
      <c r="I103" s="99">
        <f t="shared" si="1"/>
        <v>4450000</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208367675.97999999</v>
      </c>
      <c r="D108" s="753"/>
      <c r="E108" s="733">
        <v>4450000</v>
      </c>
      <c r="F108" s="733"/>
      <c r="G108" s="733"/>
      <c r="H108" s="733">
        <f>E108/12*12</f>
        <v>4450000</v>
      </c>
      <c r="I108" s="44">
        <f t="shared" si="1"/>
        <v>4450000</v>
      </c>
      <c r="J108" s="124">
        <f t="shared" si="2"/>
        <v>1</v>
      </c>
      <c r="K108" s="735">
        <f>E108</f>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1">+C118+C130</f>
        <v>0</v>
      </c>
      <c r="D117" s="577">
        <f t="shared" si="21"/>
        <v>0</v>
      </c>
      <c r="E117" s="578">
        <f t="shared" si="21"/>
        <v>28589166.780000001</v>
      </c>
      <c r="F117" s="578">
        <f t="shared" si="21"/>
        <v>1187810.3899999999</v>
      </c>
      <c r="G117" s="578">
        <f t="shared" si="21"/>
        <v>1187810.3899999999</v>
      </c>
      <c r="H117" s="578">
        <f t="shared" si="21"/>
        <v>28589166.780000001</v>
      </c>
      <c r="I117" s="578">
        <f t="shared" si="1"/>
        <v>27401356.390000001</v>
      </c>
      <c r="J117" s="579">
        <f t="shared" si="2"/>
        <v>0.95845243063078878</v>
      </c>
      <c r="K117" s="580">
        <f>+K118+K130</f>
        <v>28589166.780000001</v>
      </c>
    </row>
    <row r="118" spans="1:11" ht="12.75" customHeight="1" x14ac:dyDescent="0.25">
      <c r="A118" s="518" t="s">
        <v>1298</v>
      </c>
      <c r="B118" s="169"/>
      <c r="C118" s="648">
        <f t="shared" ref="C118:H118" si="22">SUM(C119:C129)</f>
        <v>0</v>
      </c>
      <c r="D118" s="649">
        <f t="shared" si="22"/>
        <v>0</v>
      </c>
      <c r="E118" s="408">
        <f t="shared" si="22"/>
        <v>0</v>
      </c>
      <c r="F118" s="408">
        <f t="shared" si="22"/>
        <v>1187810.3899999999</v>
      </c>
      <c r="G118" s="408">
        <f t="shared" si="22"/>
        <v>1187810.3899999999</v>
      </c>
      <c r="H118" s="408">
        <f t="shared" si="22"/>
        <v>0</v>
      </c>
      <c r="I118" s="258">
        <f t="shared" si="1"/>
        <v>-1187810.3899999999</v>
      </c>
      <c r="J118" s="575" t="e">
        <f t="shared" si="2"/>
        <v>#DIV/0!</v>
      </c>
      <c r="K118" s="642">
        <f>SUM(K119:K129)</f>
        <v>0</v>
      </c>
    </row>
    <row r="119" spans="1:11" ht="12.75" customHeight="1" x14ac:dyDescent="0.25">
      <c r="A119" s="574" t="s">
        <v>1299</v>
      </c>
      <c r="B119" s="169"/>
      <c r="C119" s="748"/>
      <c r="D119" s="753"/>
      <c r="E119" s="733"/>
      <c r="F119" s="733">
        <v>1187810.3899999999</v>
      </c>
      <c r="G119" s="733">
        <v>1187810.3899999999</v>
      </c>
      <c r="H119" s="733"/>
      <c r="I119" s="44">
        <f t="shared" si="1"/>
        <v>-1187810.3899999999</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3">SUM(C131:C133)</f>
        <v>0</v>
      </c>
      <c r="D130" s="649">
        <f t="shared" si="23"/>
        <v>0</v>
      </c>
      <c r="E130" s="408">
        <f t="shared" si="23"/>
        <v>28589166.780000001</v>
      </c>
      <c r="F130" s="408">
        <f t="shared" si="23"/>
        <v>0</v>
      </c>
      <c r="G130" s="408">
        <f t="shared" si="23"/>
        <v>0</v>
      </c>
      <c r="H130" s="408">
        <f t="shared" si="23"/>
        <v>28589166.780000001</v>
      </c>
      <c r="I130" s="258">
        <f t="shared" si="1"/>
        <v>28589166.780000001</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E132/12*12</f>
        <v>28589166.780000001</v>
      </c>
      <c r="I132" s="44">
        <f t="shared" si="1"/>
        <v>28589166.780000001</v>
      </c>
      <c r="J132" s="124">
        <f t="shared" si="2"/>
        <v>1</v>
      </c>
      <c r="K132" s="735">
        <f>E132</f>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5">IF(I137=0,"",I137/H137)</f>
        <v/>
      </c>
      <c r="K137" s="144"/>
    </row>
    <row r="138" spans="1:11" s="100" customFormat="1" ht="12.75" customHeight="1" x14ac:dyDescent="0.25">
      <c r="A138" s="549" t="s">
        <v>1312</v>
      </c>
      <c r="B138" s="171"/>
      <c r="C138" s="940">
        <f t="shared" ref="C138:H138" si="26">SUM(C139:C140)</f>
        <v>0</v>
      </c>
      <c r="D138" s="941">
        <f t="shared" si="26"/>
        <v>0</v>
      </c>
      <c r="E138" s="942">
        <f t="shared" si="26"/>
        <v>3250000</v>
      </c>
      <c r="F138" s="942">
        <f t="shared" si="26"/>
        <v>0</v>
      </c>
      <c r="G138" s="942">
        <f t="shared" si="26"/>
        <v>0</v>
      </c>
      <c r="H138" s="942">
        <f t="shared" si="26"/>
        <v>3250000</v>
      </c>
      <c r="I138" s="942">
        <f t="shared" ref="I138:I146" si="27">H138-G138</f>
        <v>3250000</v>
      </c>
      <c r="J138" s="324">
        <f t="shared" si="25"/>
        <v>1</v>
      </c>
      <c r="K138" s="943">
        <f>SUM(K139:K140)</f>
        <v>3250000</v>
      </c>
    </row>
    <row r="139" spans="1:11" ht="12.75" customHeight="1" x14ac:dyDescent="0.25">
      <c r="A139" s="517" t="s">
        <v>1313</v>
      </c>
      <c r="B139" s="169"/>
      <c r="C139" s="748"/>
      <c r="D139" s="753"/>
      <c r="E139" s="733"/>
      <c r="F139" s="733"/>
      <c r="G139" s="733"/>
      <c r="H139" s="733"/>
      <c r="I139" s="44">
        <f t="shared" si="27"/>
        <v>0</v>
      </c>
      <c r="J139" s="124" t="str">
        <f t="shared" si="25"/>
        <v/>
      </c>
      <c r="K139" s="735"/>
    </row>
    <row r="140" spans="1:11" ht="12.75" customHeight="1" x14ac:dyDescent="0.25">
      <c r="A140" s="517" t="s">
        <v>1314</v>
      </c>
      <c r="B140" s="169"/>
      <c r="C140" s="648">
        <f t="shared" ref="C140:H140" si="28">SUM(C141:C146)</f>
        <v>0</v>
      </c>
      <c r="D140" s="649">
        <f t="shared" si="28"/>
        <v>0</v>
      </c>
      <c r="E140" s="408">
        <f t="shared" si="28"/>
        <v>3250000</v>
      </c>
      <c r="F140" s="408">
        <f t="shared" si="28"/>
        <v>0</v>
      </c>
      <c r="G140" s="408">
        <f t="shared" si="28"/>
        <v>0</v>
      </c>
      <c r="H140" s="408">
        <f t="shared" si="28"/>
        <v>3250000</v>
      </c>
      <c r="I140" s="258">
        <f t="shared" si="27"/>
        <v>3250000</v>
      </c>
      <c r="J140" s="575">
        <f t="shared" si="25"/>
        <v>1</v>
      </c>
      <c r="K140" s="642">
        <f>SUM(K141:K146)</f>
        <v>3250000</v>
      </c>
    </row>
    <row r="141" spans="1:11" ht="12.75" customHeight="1" x14ac:dyDescent="0.25">
      <c r="A141" s="574" t="s">
        <v>1315</v>
      </c>
      <c r="B141" s="169"/>
      <c r="C141" s="748"/>
      <c r="D141" s="753"/>
      <c r="E141" s="733"/>
      <c r="F141" s="733"/>
      <c r="G141" s="733"/>
      <c r="H141" s="733"/>
      <c r="I141" s="44">
        <f t="shared" si="27"/>
        <v>0</v>
      </c>
      <c r="J141" s="124" t="str">
        <f t="shared" si="25"/>
        <v/>
      </c>
      <c r="K141" s="735"/>
    </row>
    <row r="142" spans="1:11" ht="12.75" customHeight="1" x14ac:dyDescent="0.25">
      <c r="A142" s="574" t="s">
        <v>1316</v>
      </c>
      <c r="B142" s="169"/>
      <c r="C142" s="748"/>
      <c r="D142" s="753"/>
      <c r="E142" s="733"/>
      <c r="F142" s="733"/>
      <c r="G142" s="733"/>
      <c r="H142" s="733"/>
      <c r="I142" s="44">
        <f t="shared" si="27"/>
        <v>0</v>
      </c>
      <c r="J142" s="124" t="str">
        <f t="shared" si="25"/>
        <v/>
      </c>
      <c r="K142" s="735"/>
    </row>
    <row r="143" spans="1:11" ht="12.75" customHeight="1" x14ac:dyDescent="0.25">
      <c r="A143" s="574" t="s">
        <v>1317</v>
      </c>
      <c r="B143" s="169"/>
      <c r="C143" s="748"/>
      <c r="D143" s="753"/>
      <c r="E143" s="733"/>
      <c r="F143" s="733"/>
      <c r="G143" s="733"/>
      <c r="H143" s="733"/>
      <c r="I143" s="44">
        <f t="shared" si="27"/>
        <v>0</v>
      </c>
      <c r="J143" s="124" t="str">
        <f t="shared" si="25"/>
        <v/>
      </c>
      <c r="K143" s="735"/>
    </row>
    <row r="144" spans="1:11" ht="12.75" customHeight="1" x14ac:dyDescent="0.25">
      <c r="A144" s="574" t="s">
        <v>1318</v>
      </c>
      <c r="B144" s="169"/>
      <c r="C144" s="748"/>
      <c r="D144" s="753"/>
      <c r="E144" s="733">
        <v>3250000</v>
      </c>
      <c r="F144" s="733"/>
      <c r="G144" s="733"/>
      <c r="H144" s="733">
        <f>E144/12*12</f>
        <v>3250000</v>
      </c>
      <c r="I144" s="44">
        <f t="shared" si="27"/>
        <v>3250000</v>
      </c>
      <c r="J144" s="124">
        <f t="shared" si="25"/>
        <v>1</v>
      </c>
      <c r="K144" s="735">
        <f>E144</f>
        <v>3250000</v>
      </c>
    </row>
    <row r="145" spans="1:12" ht="12.75" customHeight="1" x14ac:dyDescent="0.25">
      <c r="A145" s="574" t="s">
        <v>1319</v>
      </c>
      <c r="B145" s="169"/>
      <c r="C145" s="748"/>
      <c r="D145" s="753"/>
      <c r="E145" s="733"/>
      <c r="F145" s="733"/>
      <c r="G145" s="733"/>
      <c r="H145" s="733"/>
      <c r="I145" s="44">
        <f t="shared" si="27"/>
        <v>0</v>
      </c>
      <c r="J145" s="124" t="str">
        <f t="shared" si="25"/>
        <v/>
      </c>
      <c r="K145" s="735"/>
    </row>
    <row r="146" spans="1:12" ht="12.75" customHeight="1" x14ac:dyDescent="0.25">
      <c r="A146" s="574" t="s">
        <v>1320</v>
      </c>
      <c r="B146" s="169"/>
      <c r="C146" s="748"/>
      <c r="D146" s="753"/>
      <c r="E146" s="733"/>
      <c r="F146" s="733"/>
      <c r="G146" s="733"/>
      <c r="H146" s="733"/>
      <c r="I146" s="44">
        <f t="shared" si="27"/>
        <v>0</v>
      </c>
      <c r="J146" s="124" t="str">
        <f t="shared" si="25"/>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9">SUM(C149:C149)</f>
        <v>0</v>
      </c>
      <c r="D148" s="577">
        <f t="shared" si="29"/>
        <v>0</v>
      </c>
      <c r="E148" s="578">
        <f t="shared" si="29"/>
        <v>0</v>
      </c>
      <c r="F148" s="578">
        <f t="shared" si="29"/>
        <v>0</v>
      </c>
      <c r="G148" s="578">
        <f t="shared" si="29"/>
        <v>0</v>
      </c>
      <c r="H148" s="578">
        <f t="shared" si="29"/>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0">SUM(C152:C152)</f>
        <v>0</v>
      </c>
      <c r="D151" s="577">
        <f t="shared" si="30"/>
        <v>389115.01932775264</v>
      </c>
      <c r="E151" s="578">
        <f t="shared" si="30"/>
        <v>389115.01932775264</v>
      </c>
      <c r="F151" s="578">
        <f t="shared" si="30"/>
        <v>0</v>
      </c>
      <c r="G151" s="578">
        <f t="shared" si="30"/>
        <v>0</v>
      </c>
      <c r="H151" s="578">
        <f t="shared" si="30"/>
        <v>389115.01932775264</v>
      </c>
      <c r="I151" s="578">
        <f>H151-G151</f>
        <v>389115.01932775264</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E152/12*12</f>
        <v>389115.01932775264</v>
      </c>
      <c r="I152" s="44">
        <f>H152-G152</f>
        <v>389115.01932775264</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1">SUM(C155:C155)</f>
        <v>0</v>
      </c>
      <c r="D154" s="577">
        <f t="shared" si="31"/>
        <v>7339876.6095793974</v>
      </c>
      <c r="E154" s="578">
        <f t="shared" si="31"/>
        <v>4365000</v>
      </c>
      <c r="F154" s="578">
        <f t="shared" si="31"/>
        <v>0</v>
      </c>
      <c r="G154" s="578">
        <f t="shared" si="31"/>
        <v>0</v>
      </c>
      <c r="H154" s="578">
        <f t="shared" si="31"/>
        <v>4365000</v>
      </c>
      <c r="I154" s="578">
        <f>H154-G154</f>
        <v>4365000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E155/12*12</f>
        <v>4365000</v>
      </c>
      <c r="I155" s="44">
        <f>H155-G155</f>
        <v>4365000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2">SUM(C158:C158)</f>
        <v>-4375362.12</v>
      </c>
      <c r="D157" s="577">
        <f t="shared" si="32"/>
        <v>0</v>
      </c>
      <c r="E157" s="578">
        <f t="shared" si="32"/>
        <v>10180000</v>
      </c>
      <c r="F157" s="578">
        <f t="shared" si="32"/>
        <v>0</v>
      </c>
      <c r="G157" s="578">
        <f t="shared" si="32"/>
        <v>0</v>
      </c>
      <c r="H157" s="578">
        <f t="shared" si="32"/>
        <v>10180000</v>
      </c>
      <c r="I157" s="578">
        <f>H157-G157</f>
        <v>10180000</v>
      </c>
      <c r="J157" s="324">
        <f>IF(I157=0,"",I157/H157)</f>
        <v>1</v>
      </c>
      <c r="K157" s="580">
        <f>SUM(K158)</f>
        <v>10180000</v>
      </c>
    </row>
    <row r="158" spans="1:12" ht="12.75" customHeight="1" x14ac:dyDescent="0.25">
      <c r="A158" s="518" t="s">
        <v>1324</v>
      </c>
      <c r="B158" s="169"/>
      <c r="C158" s="748">
        <v>-4375362.12</v>
      </c>
      <c r="D158" s="753"/>
      <c r="E158" s="733">
        <v>10180000</v>
      </c>
      <c r="F158" s="733"/>
      <c r="G158" s="733"/>
      <c r="H158" s="733">
        <f>E158/12*12</f>
        <v>10180000</v>
      </c>
      <c r="I158" s="44">
        <f>H158-G158</f>
        <v>10180000</v>
      </c>
      <c r="J158" s="124">
        <f>IF(I158=0,"",I158/H158)</f>
        <v>1</v>
      </c>
      <c r="K158" s="735">
        <f>E158</f>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3">SUM(C161:C161)</f>
        <v>0</v>
      </c>
      <c r="D160" s="577">
        <f t="shared" si="33"/>
        <v>0</v>
      </c>
      <c r="E160" s="578">
        <f t="shared" si="33"/>
        <v>0</v>
      </c>
      <c r="F160" s="578">
        <f t="shared" si="33"/>
        <v>0</v>
      </c>
      <c r="G160" s="578">
        <f t="shared" si="33"/>
        <v>0</v>
      </c>
      <c r="H160" s="578">
        <f t="shared" si="33"/>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4">SUM(C164:C164)</f>
        <v>0</v>
      </c>
      <c r="D163" s="577">
        <f t="shared" si="34"/>
        <v>0</v>
      </c>
      <c r="E163" s="578">
        <f t="shared" si="34"/>
        <v>0</v>
      </c>
      <c r="F163" s="578">
        <f t="shared" si="34"/>
        <v>0</v>
      </c>
      <c r="G163" s="578">
        <f t="shared" si="34"/>
        <v>0</v>
      </c>
      <c r="H163" s="578">
        <f t="shared" si="34"/>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5">C7+C75+C103+C110+C117+C135+C138+C148+C151+C154+C157+C160+C163</f>
        <v>203992313.85999998</v>
      </c>
      <c r="D166" s="271">
        <f t="shared" si="35"/>
        <v>15200000</v>
      </c>
      <c r="E166" s="55">
        <f t="shared" si="35"/>
        <v>259787252.79932776</v>
      </c>
      <c r="F166" s="55">
        <f t="shared" si="35"/>
        <v>27792026.080000002</v>
      </c>
      <c r="G166" s="55">
        <f t="shared" si="35"/>
        <v>72703927.450000092</v>
      </c>
      <c r="H166" s="55">
        <f t="shared" si="35"/>
        <v>259787252.79932776</v>
      </c>
      <c r="I166" s="55">
        <f>H166-G166</f>
        <v>187083325.34932768</v>
      </c>
      <c r="J166" s="290">
        <f>IF(I166=0,"",I166/H166)</f>
        <v>0.72014051241320876</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-59610022.050000012</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3" activePane="bottomRight" state="frozen"/>
      <selection pane="topRight"/>
      <selection pane="bottomLeft"/>
      <selection pane="bottomRight" activeCell="H177" sqref="H177"/>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"&amp;S71Sc&amp; " - "&amp;Head57</f>
        <v>KZN225 Msunduzi - Supporting Table SC13c Consolidated Monthly Budget Statement - expenditure on repairs and maintenance by asset class - Q4 Fourth Quarter</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33758097.360000007</v>
      </c>
      <c r="D7" s="602">
        <f t="shared" si="0"/>
        <v>182809088.18959922</v>
      </c>
      <c r="E7" s="102">
        <f t="shared" si="0"/>
        <v>182809088.18959922</v>
      </c>
      <c r="F7" s="102">
        <f t="shared" si="0"/>
        <v>19047653.719999999</v>
      </c>
      <c r="G7" s="102">
        <f t="shared" si="0"/>
        <v>77522286.649999991</v>
      </c>
      <c r="H7" s="102">
        <f t="shared" si="0"/>
        <v>182809088.18959922</v>
      </c>
      <c r="I7" s="101">
        <f t="shared" ref="I7:I166" si="1">H7-G7</f>
        <v>105286801.53959922</v>
      </c>
      <c r="J7" s="579">
        <f t="shared" ref="J7:J166" si="2">IF(I7=0,"",I7/H7)</f>
        <v>0.57593855197396815</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67377416.652851462</v>
      </c>
      <c r="I8" s="258">
        <f t="shared" si="1"/>
        <v>67377416.652851462</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E9/12*12</f>
        <v>67377416.652851462</v>
      </c>
      <c r="I9" s="258">
        <f t="shared" si="1"/>
        <v>67377416.652851462</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33758097.360000007</v>
      </c>
      <c r="D17" s="649">
        <f t="shared" si="5"/>
        <v>72368461.652195498</v>
      </c>
      <c r="E17" s="408">
        <f t="shared" si="5"/>
        <v>72368461.652195498</v>
      </c>
      <c r="F17" s="408">
        <f t="shared" si="5"/>
        <v>19047653.719999999</v>
      </c>
      <c r="G17" s="408">
        <f t="shared" si="5"/>
        <v>77522286.649999991</v>
      </c>
      <c r="H17" s="408">
        <f t="shared" si="5"/>
        <v>72368461.652195498</v>
      </c>
      <c r="I17" s="258">
        <f t="shared" si="1"/>
        <v>-5153824.9978044927</v>
      </c>
      <c r="J17" s="575">
        <f t="shared" si="2"/>
        <v>-7.1216450925458322E-2</v>
      </c>
      <c r="K17" s="642">
        <f>SUM(K18:K26)</f>
        <v>72368461.652195498</v>
      </c>
    </row>
    <row r="18" spans="1:11" ht="12.75" customHeight="1" x14ac:dyDescent="0.25">
      <c r="A18" s="574" t="s">
        <v>1225</v>
      </c>
      <c r="B18" s="169"/>
      <c r="C18" s="748"/>
      <c r="D18" s="745">
        <v>72368461.652195498</v>
      </c>
      <c r="E18" s="733">
        <v>72368461.652195498</v>
      </c>
      <c r="F18" s="733"/>
      <c r="G18" s="733"/>
      <c r="H18" s="733">
        <f>E18/12*12</f>
        <v>72368461.652195498</v>
      </c>
      <c r="I18" s="258">
        <f t="shared" si="1"/>
        <v>72368461.652195498</v>
      </c>
      <c r="J18" s="575">
        <f t="shared" si="2"/>
        <v>1</v>
      </c>
      <c r="K18" s="735">
        <f>E18</f>
        <v>72368461.652195498</v>
      </c>
    </row>
    <row r="19" spans="1:11" ht="12.75" customHeight="1" x14ac:dyDescent="0.25">
      <c r="A19" s="574" t="s">
        <v>1226</v>
      </c>
      <c r="B19" s="169"/>
      <c r="C19" s="748"/>
      <c r="D19" s="745"/>
      <c r="E19" s="733"/>
      <c r="F19" s="733">
        <v>4289950.5299999993</v>
      </c>
      <c r="G19" s="733">
        <v>21482812.599999994</v>
      </c>
      <c r="H19" s="733"/>
      <c r="I19" s="258">
        <f t="shared" si="1"/>
        <v>-21482812.599999994</v>
      </c>
      <c r="J19" s="575" t="e">
        <f t="shared" si="2"/>
        <v>#DIV/0!</v>
      </c>
      <c r="K19" s="735"/>
    </row>
    <row r="20" spans="1:11" ht="12.75" customHeight="1" x14ac:dyDescent="0.25">
      <c r="A20" s="574" t="s">
        <v>1227</v>
      </c>
      <c r="B20" s="169"/>
      <c r="C20" s="748">
        <v>14831031.570000004</v>
      </c>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7209219.5499999998</v>
      </c>
      <c r="G22" s="733">
        <v>8626276.9799999986</v>
      </c>
      <c r="H22" s="733"/>
      <c r="I22" s="258">
        <f t="shared" si="1"/>
        <v>-8626276.9799999986</v>
      </c>
      <c r="J22" s="575" t="e">
        <f t="shared" si="2"/>
        <v>#DIV/0!</v>
      </c>
      <c r="K22" s="735"/>
    </row>
    <row r="23" spans="1:11" ht="12.75" customHeight="1" x14ac:dyDescent="0.25">
      <c r="A23" s="574" t="s">
        <v>1230</v>
      </c>
      <c r="B23" s="169"/>
      <c r="C23" s="748">
        <v>235863.78</v>
      </c>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18691202.010000002</v>
      </c>
      <c r="D25" s="745"/>
      <c r="E25" s="733"/>
      <c r="F25" s="733">
        <v>7548483.6400000006</v>
      </c>
      <c r="G25" s="733">
        <v>47413197.07</v>
      </c>
      <c r="H25" s="733"/>
      <c r="I25" s="258">
        <f t="shared" si="1"/>
        <v>-47413197.07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22149634.806888912</v>
      </c>
      <c r="I27" s="258">
        <f t="shared" si="1"/>
        <v>22149634.806888912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E34/12*12</f>
        <v>22149634.806888912</v>
      </c>
      <c r="I34" s="258">
        <f t="shared" si="1"/>
        <v>22149634.806888912</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8775393.2630056739</v>
      </c>
      <c r="I38" s="258">
        <f t="shared" si="1"/>
        <v>8775393.2630056739</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E41/12*12</f>
        <v>8775393.2630056739</v>
      </c>
      <c r="I41" s="258">
        <f t="shared" si="1"/>
        <v>8775393.2630056739</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12138181.814657664</v>
      </c>
      <c r="I45" s="258">
        <f t="shared" si="1"/>
        <v>12138181.814657664</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E46/12*12</f>
        <v>12138181.814657664</v>
      </c>
      <c r="I46" s="258">
        <f t="shared" si="1"/>
        <v>12138181.814657664</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23512721.348855015</v>
      </c>
      <c r="I75" s="578">
        <f t="shared" si="1"/>
        <v>23512721.348855015</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23512721.348855015</v>
      </c>
      <c r="I76" s="258">
        <f t="shared" si="1"/>
        <v>23512721.348855015</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E77/12*12</f>
        <v>927507.91476110253</v>
      </c>
      <c r="I77" s="44">
        <f t="shared" si="1"/>
        <v>927507.91476110253</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E80/12*12</f>
        <v>462304.07259779621</v>
      </c>
      <c r="I80" s="44">
        <f t="shared" si="1"/>
        <v>462304.07259779621</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E86/12*12</f>
        <v>877730.44747647608</v>
      </c>
      <c r="I86" s="44">
        <f t="shared" si="1"/>
        <v>877730.44747647608</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E88/12*12</f>
        <v>3810451.939867402</v>
      </c>
      <c r="I88" s="44">
        <f t="shared" si="1"/>
        <v>3810451.939867402</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E90/12*12</f>
        <v>12558212.863144819</v>
      </c>
      <c r="I90" s="44">
        <f t="shared" si="1"/>
        <v>12558212.863144819</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E93/12*12</f>
        <v>4876514.1110074176</v>
      </c>
      <c r="I93" s="44">
        <f t="shared" si="1"/>
        <v>4876514.1110074176</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26982004.797416411</v>
      </c>
      <c r="I103" s="99">
        <f t="shared" si="1"/>
        <v>26982004.797416411</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E105/12*12</f>
        <v>26982004.797416411</v>
      </c>
      <c r="I105" s="44">
        <f t="shared" si="1"/>
        <v>26982004.797416411</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14844653.409999987</v>
      </c>
      <c r="D117" s="577">
        <f t="shared" si="19"/>
        <v>0</v>
      </c>
      <c r="E117" s="578">
        <f t="shared" si="19"/>
        <v>0</v>
      </c>
      <c r="F117" s="578">
        <f t="shared" si="19"/>
        <v>3353368.9400000009</v>
      </c>
      <c r="G117" s="578">
        <f t="shared" si="19"/>
        <v>14191124.890000004</v>
      </c>
      <c r="H117" s="578">
        <f t="shared" si="19"/>
        <v>0</v>
      </c>
      <c r="I117" s="578">
        <f t="shared" si="1"/>
        <v>-14191124.890000004</v>
      </c>
      <c r="J117" s="579" t="e">
        <f t="shared" si="2"/>
        <v>#DIV/0!</v>
      </c>
      <c r="K117" s="580">
        <f>+K118+K130</f>
        <v>0</v>
      </c>
    </row>
    <row r="118" spans="1:11" ht="12.75" customHeight="1" x14ac:dyDescent="0.25">
      <c r="A118" s="518" t="s">
        <v>1298</v>
      </c>
      <c r="B118" s="169"/>
      <c r="C118" s="648">
        <f t="shared" ref="C118:H118" si="20">SUM(C119:C129)</f>
        <v>14844653.409999987</v>
      </c>
      <c r="D118" s="649">
        <f t="shared" si="20"/>
        <v>0</v>
      </c>
      <c r="E118" s="408">
        <f t="shared" si="20"/>
        <v>0</v>
      </c>
      <c r="F118" s="408">
        <f t="shared" si="20"/>
        <v>3353368.9400000009</v>
      </c>
      <c r="G118" s="408">
        <f t="shared" si="20"/>
        <v>14191124.890000004</v>
      </c>
      <c r="H118" s="408">
        <f t="shared" si="20"/>
        <v>0</v>
      </c>
      <c r="I118" s="258">
        <f t="shared" si="1"/>
        <v>-14191124.890000004</v>
      </c>
      <c r="J118" s="575" t="e">
        <f t="shared" si="2"/>
        <v>#DIV/0!</v>
      </c>
      <c r="K118" s="642">
        <f>SUM(K119:K129)</f>
        <v>0</v>
      </c>
    </row>
    <row r="119" spans="1:11" ht="12.75" customHeight="1" x14ac:dyDescent="0.25">
      <c r="A119" s="574" t="s">
        <v>1299</v>
      </c>
      <c r="B119" s="169"/>
      <c r="C119" s="748">
        <v>14844653.409999987</v>
      </c>
      <c r="D119" s="753"/>
      <c r="E119" s="733"/>
      <c r="F119" s="733">
        <v>3353368.9400000009</v>
      </c>
      <c r="G119" s="733">
        <v>14191124.890000004</v>
      </c>
      <c r="H119" s="733"/>
      <c r="I119" s="44">
        <f t="shared" si="1"/>
        <v>-14191124.890000004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8558840.2300000023</v>
      </c>
      <c r="D154" s="577">
        <f t="shared" si="29"/>
        <v>0</v>
      </c>
      <c r="E154" s="578">
        <f t="shared" si="29"/>
        <v>0</v>
      </c>
      <c r="F154" s="578">
        <f t="shared" si="29"/>
        <v>3784858.1599999997</v>
      </c>
      <c r="G154" s="578">
        <f t="shared" si="29"/>
        <v>19626154.249999996</v>
      </c>
      <c r="H154" s="578">
        <f t="shared" si="29"/>
        <v>0</v>
      </c>
      <c r="I154" s="578">
        <f>H154-G154</f>
        <v>-19626154.249999996</v>
      </c>
      <c r="J154" s="324" t="e">
        <f>IF(I154=0,"",I154/H154)</f>
        <v>#DIV/0!</v>
      </c>
      <c r="K154" s="580">
        <f>SUM(K155)</f>
        <v>0</v>
      </c>
    </row>
    <row r="155" spans="1:12" ht="12.75" customHeight="1" x14ac:dyDescent="0.25">
      <c r="A155" s="518" t="s">
        <v>1323</v>
      </c>
      <c r="B155" s="169"/>
      <c r="C155" s="748">
        <v>8558840.2300000023</v>
      </c>
      <c r="D155" s="753"/>
      <c r="E155" s="733"/>
      <c r="F155" s="733">
        <v>3784858.1599999997</v>
      </c>
      <c r="G155" s="733">
        <v>19626154.249999996</v>
      </c>
      <c r="H155" s="733"/>
      <c r="I155" s="44">
        <f>H155-G155</f>
        <v>-19626154.249999996</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57161591</v>
      </c>
      <c r="D166" s="271">
        <f t="shared" si="33"/>
        <v>233303814.33587065</v>
      </c>
      <c r="E166" s="55">
        <f t="shared" si="33"/>
        <v>233303814.33587065</v>
      </c>
      <c r="F166" s="55">
        <f t="shared" si="33"/>
        <v>26185880.82</v>
      </c>
      <c r="G166" s="55">
        <f t="shared" si="33"/>
        <v>111339565.78999999</v>
      </c>
      <c r="H166" s="55">
        <f t="shared" si="33"/>
        <v>233303814.33587065</v>
      </c>
      <c r="I166" s="55">
        <f t="shared" si="1"/>
        <v>121964248.54587066</v>
      </c>
      <c r="J166" s="290">
        <f t="shared" si="2"/>
        <v>0.52277005797379528</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0"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"&amp;S71Sd&amp; " - "&amp;Head57</f>
        <v>KZN225 Msunduzi - Supporting Table SC13d Consolidated Monthly Budget Statement - depreciation by asset class - Q4 Fourth Quarter</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312549916.11000001</v>
      </c>
      <c r="D7" s="602">
        <f t="shared" si="0"/>
        <v>102185430.65296483</v>
      </c>
      <c r="E7" s="102">
        <f t="shared" si="0"/>
        <v>102185430.65296483</v>
      </c>
      <c r="F7" s="102">
        <f t="shared" si="0"/>
        <v>27289744.679999996</v>
      </c>
      <c r="G7" s="102">
        <f t="shared" si="0"/>
        <v>294390008.07000005</v>
      </c>
      <c r="H7" s="102">
        <f t="shared" si="0"/>
        <v>102185430.65296483</v>
      </c>
      <c r="I7" s="101">
        <f t="shared" ref="I7:I166" si="1">H7-G7</f>
        <v>-192204577.41703522</v>
      </c>
      <c r="J7" s="579">
        <f t="shared" ref="J7:J166" si="2">IF(I7=0,"",I7/H7)</f>
        <v>-1.8809391533494364</v>
      </c>
      <c r="K7" s="603">
        <f>K8+K13+K17+K27+K38+K45+K53+K63+K69</f>
        <v>102185430.65296483</v>
      </c>
    </row>
    <row r="8" spans="1:11" ht="12.75" customHeight="1" x14ac:dyDescent="0.25">
      <c r="A8" s="518" t="s">
        <v>1216</v>
      </c>
      <c r="B8" s="169"/>
      <c r="C8" s="677">
        <f t="shared" ref="C8:H8" si="3">SUM(C9:C12)</f>
        <v>118564391.15000002</v>
      </c>
      <c r="D8" s="609">
        <f t="shared" si="3"/>
        <v>14933619.963149311</v>
      </c>
      <c r="E8" s="608">
        <f t="shared" si="3"/>
        <v>14933619.963149311</v>
      </c>
      <c r="F8" s="608">
        <f t="shared" si="3"/>
        <v>10168169.960000001</v>
      </c>
      <c r="G8" s="608">
        <f t="shared" si="3"/>
        <v>109836629.13999999</v>
      </c>
      <c r="H8" s="608">
        <f t="shared" si="3"/>
        <v>14933619.963149311</v>
      </c>
      <c r="I8" s="258">
        <f t="shared" si="1"/>
        <v>-94903009.176850677</v>
      </c>
      <c r="J8" s="575">
        <f t="shared" si="2"/>
        <v>-6.3549902442298949</v>
      </c>
      <c r="K8" s="610">
        <f>SUM(K9:K12)</f>
        <v>14933619.963149311</v>
      </c>
    </row>
    <row r="9" spans="1:11" ht="12.75" customHeight="1" x14ac:dyDescent="0.25">
      <c r="A9" s="574" t="s">
        <v>168</v>
      </c>
      <c r="B9" s="169"/>
      <c r="C9" s="748">
        <v>118564391.15000002</v>
      </c>
      <c r="D9" s="745">
        <v>14851561.889929518</v>
      </c>
      <c r="E9" s="733">
        <v>14851561.889929518</v>
      </c>
      <c r="F9" s="733">
        <v>10168169.960000001</v>
      </c>
      <c r="G9" s="733">
        <v>109836629.13999999</v>
      </c>
      <c r="H9" s="733">
        <f>E9/12*12</f>
        <v>14851561.889929518</v>
      </c>
      <c r="I9" s="258">
        <f t="shared" si="1"/>
        <v>-94985067.250070468</v>
      </c>
      <c r="J9" s="575">
        <f t="shared" si="2"/>
        <v>-6.3956281469949312</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E12/12*12</f>
        <v>82058.073219792102</v>
      </c>
      <c r="I12" s="258">
        <f t="shared" si="1"/>
        <v>82058.073219792102</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90036878.400000006</v>
      </c>
      <c r="D17" s="649">
        <f t="shared" si="5"/>
        <v>80844690.254493043</v>
      </c>
      <c r="E17" s="408">
        <f t="shared" si="5"/>
        <v>80844690.254493043</v>
      </c>
      <c r="F17" s="408">
        <f t="shared" si="5"/>
        <v>8019075.6099999994</v>
      </c>
      <c r="G17" s="408">
        <f t="shared" si="5"/>
        <v>86543752.980000019</v>
      </c>
      <c r="H17" s="408">
        <f t="shared" si="5"/>
        <v>80844690.254493043</v>
      </c>
      <c r="I17" s="258">
        <f t="shared" si="1"/>
        <v>-5699062.7255069762</v>
      </c>
      <c r="J17" s="575">
        <f t="shared" si="2"/>
        <v>-7.0493964508575049E-2</v>
      </c>
      <c r="K17" s="642">
        <f>SUM(K18:K26)</f>
        <v>80844690.254493043</v>
      </c>
    </row>
    <row r="18" spans="1:11" ht="12.75" customHeight="1" x14ac:dyDescent="0.25">
      <c r="A18" s="574" t="s">
        <v>1225</v>
      </c>
      <c r="B18" s="169"/>
      <c r="C18" s="748"/>
      <c r="D18" s="745"/>
      <c r="E18" s="733"/>
      <c r="F18" s="733">
        <v>3012131.88</v>
      </c>
      <c r="G18" s="733">
        <v>32518160.240000002</v>
      </c>
      <c r="H18" s="733"/>
      <c r="I18" s="258">
        <f t="shared" si="1"/>
        <v>-32518160.240000002</v>
      </c>
      <c r="J18" s="575" t="e">
        <f t="shared" si="2"/>
        <v>#DIV/0!</v>
      </c>
      <c r="K18" s="735"/>
    </row>
    <row r="19" spans="1:11" ht="12.75" customHeight="1" x14ac:dyDescent="0.25">
      <c r="A19" s="574" t="s">
        <v>1226</v>
      </c>
      <c r="B19" s="169"/>
      <c r="C19" s="748">
        <v>31560069.609999999</v>
      </c>
      <c r="D19" s="745">
        <v>39300782.18353869</v>
      </c>
      <c r="E19" s="733">
        <v>39300782.18353869</v>
      </c>
      <c r="F19" s="733">
        <v>351596.92000000004</v>
      </c>
      <c r="G19" s="733">
        <v>3717811.16</v>
      </c>
      <c r="H19" s="733">
        <f t="shared" ref="H19:H22" si="6">E19/12*12</f>
        <v>39300782.18353869</v>
      </c>
      <c r="I19" s="258">
        <f t="shared" si="1"/>
        <v>35582971.023538694</v>
      </c>
      <c r="J19" s="575">
        <f t="shared" si="2"/>
        <v>0.90540108991629131</v>
      </c>
      <c r="K19" s="735">
        <f t="shared" ref="K19:K22" si="7">E19</f>
        <v>39300782.18353869</v>
      </c>
    </row>
    <row r="20" spans="1:11" ht="12.75" customHeight="1" x14ac:dyDescent="0.25">
      <c r="A20" s="574" t="s">
        <v>1227</v>
      </c>
      <c r="B20" s="169"/>
      <c r="C20" s="748">
        <v>3876703.12</v>
      </c>
      <c r="D20" s="745">
        <v>30417611.026810348</v>
      </c>
      <c r="E20" s="733">
        <v>30417611.026810348</v>
      </c>
      <c r="F20" s="733">
        <v>4481365.4799999995</v>
      </c>
      <c r="G20" s="733">
        <v>48427659.830000013</v>
      </c>
      <c r="H20" s="733">
        <f t="shared" si="6"/>
        <v>30417611.026810348</v>
      </c>
      <c r="I20" s="258">
        <f t="shared" si="1"/>
        <v>-18010048.803189665</v>
      </c>
      <c r="J20" s="575">
        <f t="shared" si="2"/>
        <v>-0.59209281055357865</v>
      </c>
      <c r="K20" s="735">
        <f t="shared" si="7"/>
        <v>30417611.026810348</v>
      </c>
    </row>
    <row r="21" spans="1:11" ht="12.75" customHeight="1" x14ac:dyDescent="0.25">
      <c r="A21" s="574" t="s">
        <v>1228</v>
      </c>
      <c r="B21" s="169"/>
      <c r="C21" s="748">
        <v>52552829.860000007</v>
      </c>
      <c r="D21" s="745">
        <v>10972255.34036158</v>
      </c>
      <c r="E21" s="733">
        <v>10972255.34036158</v>
      </c>
      <c r="F21" s="733"/>
      <c r="G21" s="733"/>
      <c r="H21" s="733">
        <f t="shared" si="6"/>
        <v>10972255.34036158</v>
      </c>
      <c r="I21" s="258">
        <f t="shared" si="1"/>
        <v>10972255.34036158</v>
      </c>
      <c r="J21" s="575">
        <f t="shared" si="2"/>
        <v>1</v>
      </c>
      <c r="K21" s="735">
        <f t="shared" si="7"/>
        <v>10972255.34036158</v>
      </c>
    </row>
    <row r="22" spans="1:11" ht="12.75" customHeight="1" x14ac:dyDescent="0.25">
      <c r="A22" s="574" t="s">
        <v>1229</v>
      </c>
      <c r="B22" s="169"/>
      <c r="C22" s="748"/>
      <c r="D22" s="745">
        <v>154041.70378242273</v>
      </c>
      <c r="E22" s="733">
        <v>154041.70378242273</v>
      </c>
      <c r="F22" s="733"/>
      <c r="G22" s="733"/>
      <c r="H22" s="733">
        <f t="shared" si="6"/>
        <v>154041.70378242273</v>
      </c>
      <c r="I22" s="258">
        <f t="shared" si="1"/>
        <v>154041.70378242273</v>
      </c>
      <c r="J22" s="575">
        <f t="shared" si="2"/>
        <v>1</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v>173981.33000000002</v>
      </c>
      <c r="G24" s="733">
        <v>1880121.7499999995</v>
      </c>
      <c r="H24" s="733"/>
      <c r="I24" s="258">
        <f t="shared" si="1"/>
        <v>-1880121.7499999995</v>
      </c>
      <c r="J24" s="575" t="e">
        <f t="shared" si="2"/>
        <v>#DIV/0!</v>
      </c>
      <c r="K24" s="735"/>
    </row>
    <row r="25" spans="1:11" ht="12.75" customHeight="1" x14ac:dyDescent="0.25">
      <c r="A25" s="574" t="s">
        <v>1232</v>
      </c>
      <c r="B25" s="169"/>
      <c r="C25" s="748">
        <v>2047275.81</v>
      </c>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83825014.49000001</v>
      </c>
      <c r="D27" s="649">
        <f t="shared" si="8"/>
        <v>6407120.435322484</v>
      </c>
      <c r="E27" s="408">
        <f t="shared" si="8"/>
        <v>6407120.435322484</v>
      </c>
      <c r="F27" s="408">
        <f t="shared" si="8"/>
        <v>7228322.4700000007</v>
      </c>
      <c r="G27" s="408">
        <f t="shared" si="8"/>
        <v>78091459.840000033</v>
      </c>
      <c r="H27" s="408">
        <f t="shared" si="8"/>
        <v>6407120.435322484</v>
      </c>
      <c r="I27" s="258">
        <f t="shared" si="1"/>
        <v>-71684339.404677555</v>
      </c>
      <c r="J27" s="575">
        <f t="shared" si="2"/>
        <v>-11.188230364686367</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v>83825014.49000001</v>
      </c>
      <c r="D30" s="745">
        <v>6407120.435322484</v>
      </c>
      <c r="E30" s="733">
        <v>6407120.435322484</v>
      </c>
      <c r="F30" s="733"/>
      <c r="G30" s="733"/>
      <c r="H30" s="733">
        <f>E30/12*12</f>
        <v>6407120.435322484</v>
      </c>
      <c r="I30" s="258">
        <f t="shared" si="1"/>
        <v>6407120.435322484</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7228322.4700000007</v>
      </c>
      <c r="G34" s="733">
        <v>78091459.840000033</v>
      </c>
      <c r="H34" s="733"/>
      <c r="I34" s="258">
        <f t="shared" si="1"/>
        <v>-78091459.840000033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19740119.909999996</v>
      </c>
      <c r="D38" s="649">
        <f t="shared" si="9"/>
        <v>0</v>
      </c>
      <c r="E38" s="408">
        <f t="shared" si="9"/>
        <v>0</v>
      </c>
      <c r="F38" s="408">
        <f t="shared" si="9"/>
        <v>1746151.27</v>
      </c>
      <c r="G38" s="408">
        <f t="shared" si="9"/>
        <v>18534666.179999996</v>
      </c>
      <c r="H38" s="408">
        <f t="shared" si="9"/>
        <v>0</v>
      </c>
      <c r="I38" s="258">
        <f t="shared" si="1"/>
        <v>-18534666.179999996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v>19740119.909999996</v>
      </c>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1746151.27</v>
      </c>
      <c r="G41" s="733">
        <v>18534666.179999996</v>
      </c>
      <c r="H41" s="733"/>
      <c r="I41" s="258">
        <f t="shared" si="1"/>
        <v>-18534666.179999996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388705.34</v>
      </c>
      <c r="D45" s="649">
        <f t="shared" si="10"/>
        <v>0</v>
      </c>
      <c r="E45" s="408">
        <f t="shared" si="10"/>
        <v>0</v>
      </c>
      <c r="F45" s="408">
        <f t="shared" si="10"/>
        <v>117892.13000000002</v>
      </c>
      <c r="G45" s="408">
        <f t="shared" si="10"/>
        <v>1273995.6599999999</v>
      </c>
      <c r="H45" s="408">
        <f t="shared" si="10"/>
        <v>0</v>
      </c>
      <c r="I45" s="258">
        <f t="shared" si="1"/>
        <v>-1273995.6599999999</v>
      </c>
      <c r="J45" s="575" t="e">
        <f t="shared" si="2"/>
        <v>#DIV/0!</v>
      </c>
      <c r="K45" s="642">
        <f>SUM(K46:K52)</f>
        <v>0</v>
      </c>
    </row>
    <row r="46" spans="1:11" ht="12.75" customHeight="1" x14ac:dyDescent="0.25">
      <c r="A46" s="574" t="s">
        <v>1249</v>
      </c>
      <c r="B46" s="169"/>
      <c r="C46" s="748">
        <v>388705.34</v>
      </c>
      <c r="D46" s="745"/>
      <c r="E46" s="733"/>
      <c r="F46" s="733">
        <v>117892.13000000002</v>
      </c>
      <c r="G46" s="733">
        <v>1273995.6599999999</v>
      </c>
      <c r="H46" s="733"/>
      <c r="I46" s="258">
        <f t="shared" si="1"/>
        <v>-1273995.6599999999</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-5193.1799999999994</v>
      </c>
      <c r="D53" s="649">
        <f t="shared" si="11"/>
        <v>0</v>
      </c>
      <c r="E53" s="408">
        <f t="shared" si="11"/>
        <v>0</v>
      </c>
      <c r="F53" s="408">
        <f t="shared" si="11"/>
        <v>10133.24</v>
      </c>
      <c r="G53" s="408">
        <f t="shared" si="11"/>
        <v>109504.26999999999</v>
      </c>
      <c r="H53" s="408">
        <f t="shared" si="11"/>
        <v>0</v>
      </c>
      <c r="I53" s="258">
        <f t="shared" si="1"/>
        <v>-109504.26999999999</v>
      </c>
      <c r="J53" s="575" t="e">
        <f t="shared" si="2"/>
        <v>#DIV/0!</v>
      </c>
      <c r="K53" s="642">
        <f>SUM(K54:K62)</f>
        <v>0</v>
      </c>
    </row>
    <row r="54" spans="1:11" ht="12.75" customHeight="1" x14ac:dyDescent="0.25">
      <c r="A54" s="574" t="s">
        <v>1256</v>
      </c>
      <c r="B54" s="169"/>
      <c r="C54" s="748">
        <v>-5193.1799999999994</v>
      </c>
      <c r="D54" s="745"/>
      <c r="E54" s="733"/>
      <c r="F54" s="733">
        <v>10133.24</v>
      </c>
      <c r="G54" s="733">
        <v>109504.26999999999</v>
      </c>
      <c r="H54" s="733"/>
      <c r="I54" s="258">
        <f t="shared" si="1"/>
        <v>-109504.26999999999</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-5047627.33</v>
      </c>
      <c r="D75" s="577">
        <f t="shared" si="14"/>
        <v>38330211.728626624</v>
      </c>
      <c r="E75" s="578">
        <f t="shared" si="14"/>
        <v>38330211.728626624</v>
      </c>
      <c r="F75" s="578">
        <f t="shared" si="14"/>
        <v>2542324.7099999995</v>
      </c>
      <c r="G75" s="578">
        <f t="shared" si="14"/>
        <v>27468566.609999996</v>
      </c>
      <c r="H75" s="578">
        <f t="shared" si="14"/>
        <v>38330211.728626624</v>
      </c>
      <c r="I75" s="578">
        <f t="shared" si="1"/>
        <v>10861645.118626628</v>
      </c>
      <c r="J75" s="579">
        <f t="shared" si="2"/>
        <v>0.28337033970816006</v>
      </c>
      <c r="K75" s="580">
        <f>+K76+K99</f>
        <v>38330211.728626624</v>
      </c>
    </row>
    <row r="76" spans="1:11" ht="12.75" customHeight="1" x14ac:dyDescent="0.25">
      <c r="A76" s="518" t="s">
        <v>1268</v>
      </c>
      <c r="B76" s="169"/>
      <c r="C76" s="648">
        <f t="shared" ref="C76:H76" si="15">SUM(C77:C98)</f>
        <v>-3151708.14</v>
      </c>
      <c r="D76" s="649">
        <f t="shared" si="15"/>
        <v>22212964.603795335</v>
      </c>
      <c r="E76" s="408">
        <f t="shared" si="15"/>
        <v>22212964.603795335</v>
      </c>
      <c r="F76" s="408">
        <f t="shared" si="15"/>
        <v>1402370.82</v>
      </c>
      <c r="G76" s="408">
        <f t="shared" si="15"/>
        <v>15149710.489999996</v>
      </c>
      <c r="H76" s="408">
        <f t="shared" si="15"/>
        <v>22212964.603795335</v>
      </c>
      <c r="I76" s="258">
        <f t="shared" si="1"/>
        <v>7063254.1137953382</v>
      </c>
      <c r="J76" s="575">
        <f t="shared" si="2"/>
        <v>0.31797890285155822</v>
      </c>
      <c r="K76" s="642">
        <f>SUM(K77:K98)</f>
        <v>22212964.603795335</v>
      </c>
    </row>
    <row r="77" spans="1:11" ht="12.75" customHeight="1" x14ac:dyDescent="0.25">
      <c r="A77" s="574" t="s">
        <v>1269</v>
      </c>
      <c r="B77" s="169"/>
      <c r="C77" s="748"/>
      <c r="D77" s="753">
        <v>216338.10110699103</v>
      </c>
      <c r="E77" s="733">
        <v>216338.10110699103</v>
      </c>
      <c r="F77" s="733"/>
      <c r="G77" s="733"/>
      <c r="H77" s="733">
        <f>E77/12*12</f>
        <v>216338.10110699106</v>
      </c>
      <c r="I77" s="44">
        <f t="shared" si="1"/>
        <v>216338.10110699106</v>
      </c>
      <c r="J77" s="124">
        <f t="shared" si="2"/>
        <v>1</v>
      </c>
      <c r="K77" s="735">
        <f>E77</f>
        <v>216338.10110699103</v>
      </c>
    </row>
    <row r="78" spans="1:11" ht="12.75" customHeight="1" x14ac:dyDescent="0.25">
      <c r="A78" s="574" t="s">
        <v>1270</v>
      </c>
      <c r="B78" s="169"/>
      <c r="C78" s="748">
        <v>-327626.12</v>
      </c>
      <c r="D78" s="753"/>
      <c r="E78" s="733"/>
      <c r="F78" s="733">
        <v>303295.67000000004</v>
      </c>
      <c r="G78" s="733">
        <v>3277550.0299999993</v>
      </c>
      <c r="H78" s="733"/>
      <c r="I78" s="44">
        <f t="shared" si="1"/>
        <v>-3277550.0299999993</v>
      </c>
      <c r="J78" s="124" t="e">
        <f t="shared" si="2"/>
        <v>#DIV/0!</v>
      </c>
      <c r="K78" s="735"/>
    </row>
    <row r="79" spans="1:11" ht="12.75" customHeight="1" x14ac:dyDescent="0.25">
      <c r="A79" s="574" t="s">
        <v>1271</v>
      </c>
      <c r="B79" s="169"/>
      <c r="C79" s="748">
        <v>-87614.97</v>
      </c>
      <c r="D79" s="753"/>
      <c r="E79" s="733"/>
      <c r="F79" s="733">
        <v>42468.67</v>
      </c>
      <c r="G79" s="733">
        <v>458936.52999999997</v>
      </c>
      <c r="H79" s="733"/>
      <c r="I79" s="44">
        <f t="shared" si="1"/>
        <v>-458936.52999999997</v>
      </c>
      <c r="J79" s="124" t="e">
        <f t="shared" si="2"/>
        <v>#DIV/0!</v>
      </c>
      <c r="K79" s="735"/>
    </row>
    <row r="80" spans="1:11" ht="12.75" customHeight="1" x14ac:dyDescent="0.25">
      <c r="A80" s="574" t="s">
        <v>1272</v>
      </c>
      <c r="B80" s="169"/>
      <c r="C80" s="748">
        <v>45877.89</v>
      </c>
      <c r="D80" s="753">
        <v>11576837.362840936</v>
      </c>
      <c r="E80" s="733">
        <v>11576837.362840936</v>
      </c>
      <c r="F80" s="733">
        <v>59173.679999999993</v>
      </c>
      <c r="G80" s="733">
        <v>639458.35000000009</v>
      </c>
      <c r="H80" s="733">
        <f t="shared" ref="H80:H81" si="16">E80/12*12</f>
        <v>11576837.362840936</v>
      </c>
      <c r="I80" s="44">
        <f t="shared" si="1"/>
        <v>10937379.012840936</v>
      </c>
      <c r="J80" s="124">
        <f t="shared" si="2"/>
        <v>0.94476398605611256</v>
      </c>
      <c r="K80" s="735">
        <f t="shared" ref="K80:K81" si="17">E80</f>
        <v>11576837.362840936</v>
      </c>
    </row>
    <row r="81" spans="1:11" ht="12.75" customHeight="1" x14ac:dyDescent="0.25">
      <c r="A81" s="574" t="s">
        <v>1273</v>
      </c>
      <c r="B81" s="169"/>
      <c r="C81" s="748">
        <v>-175215.03</v>
      </c>
      <c r="D81" s="753">
        <v>4052316.8497124896</v>
      </c>
      <c r="E81" s="733">
        <v>4052316.8497124896</v>
      </c>
      <c r="F81" s="733">
        <v>52548.46</v>
      </c>
      <c r="G81" s="733">
        <v>567862.35</v>
      </c>
      <c r="H81" s="733">
        <f t="shared" si="16"/>
        <v>4052316.8497124901</v>
      </c>
      <c r="I81" s="44">
        <f t="shared" si="1"/>
        <v>3484454.49971249</v>
      </c>
      <c r="J81" s="124">
        <f t="shared" si="2"/>
        <v>0.85986723865378645</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v>-24602.51</v>
      </c>
      <c r="D85" s="753"/>
      <c r="E85" s="733"/>
      <c r="F85" s="733">
        <v>32249.24</v>
      </c>
      <c r="G85" s="733">
        <v>348499.66</v>
      </c>
      <c r="H85" s="733"/>
      <c r="I85" s="44">
        <f t="shared" si="1"/>
        <v>-348499.66</v>
      </c>
      <c r="J85" s="124" t="e">
        <f t="shared" si="2"/>
        <v>#DIV/0!</v>
      </c>
      <c r="K85" s="735"/>
    </row>
    <row r="86" spans="1:11" ht="12.75" customHeight="1" x14ac:dyDescent="0.25">
      <c r="A86" s="574" t="s">
        <v>553</v>
      </c>
      <c r="B86" s="169"/>
      <c r="C86" s="748">
        <v>184774.71</v>
      </c>
      <c r="D86" s="753">
        <v>5202994.7779857824</v>
      </c>
      <c r="E86" s="733">
        <v>5202994.7779857824</v>
      </c>
      <c r="F86" s="733">
        <v>232523.81999999998</v>
      </c>
      <c r="G86" s="733">
        <v>2512757.56</v>
      </c>
      <c r="H86" s="733">
        <f>E86/12*12</f>
        <v>5202994.7779857824</v>
      </c>
      <c r="I86" s="44">
        <f t="shared" si="1"/>
        <v>2690237.2179857823</v>
      </c>
      <c r="J86" s="124">
        <f t="shared" si="2"/>
        <v>0.51705552912879238</v>
      </c>
      <c r="K86" s="735">
        <f>E86</f>
        <v>5202994.7779857824</v>
      </c>
    </row>
    <row r="87" spans="1:11" ht="12.75" customHeight="1" x14ac:dyDescent="0.25">
      <c r="A87" s="574" t="s">
        <v>1277</v>
      </c>
      <c r="B87" s="169"/>
      <c r="C87" s="748">
        <v>-177006.32</v>
      </c>
      <c r="D87" s="753"/>
      <c r="E87" s="733"/>
      <c r="F87" s="733">
        <v>37931.19</v>
      </c>
      <c r="G87" s="733">
        <v>409901.5</v>
      </c>
      <c r="H87" s="733"/>
      <c r="I87" s="44">
        <f t="shared" si="1"/>
        <v>-409901.5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E89/12*12</f>
        <v>697094.75001482351</v>
      </c>
      <c r="I89" s="44">
        <f t="shared" si="1"/>
        <v>697094.75001482351</v>
      </c>
      <c r="J89" s="124">
        <f t="shared" si="2"/>
        <v>1</v>
      </c>
      <c r="K89" s="735">
        <f>E89</f>
        <v>697094.75001482351</v>
      </c>
    </row>
    <row r="90" spans="1:11" ht="12.75" customHeight="1" x14ac:dyDescent="0.25">
      <c r="A90" s="574" t="s">
        <v>1279</v>
      </c>
      <c r="B90" s="169"/>
      <c r="C90" s="748">
        <v>7529.03</v>
      </c>
      <c r="D90" s="753"/>
      <c r="E90" s="733"/>
      <c r="F90" s="733">
        <v>8163.87</v>
      </c>
      <c r="G90" s="733">
        <v>88222.760000000009</v>
      </c>
      <c r="H90" s="733"/>
      <c r="I90" s="44">
        <f t="shared" si="1"/>
        <v>-88222.760000000009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v>-404630.22</v>
      </c>
      <c r="D92" s="753">
        <v>467382.76213431195</v>
      </c>
      <c r="E92" s="733">
        <v>467382.76213431195</v>
      </c>
      <c r="F92" s="733">
        <v>88002.93</v>
      </c>
      <c r="G92" s="733">
        <v>951000.5199999999</v>
      </c>
      <c r="H92" s="733">
        <f>E92/12*12</f>
        <v>467382.76213431195</v>
      </c>
      <c r="I92" s="44">
        <f t="shared" si="1"/>
        <v>-483617.75786568795</v>
      </c>
      <c r="J92" s="124">
        <f t="shared" si="2"/>
        <v>-1.0347359745516471</v>
      </c>
      <c r="K92" s="735">
        <f>E92</f>
        <v>467382.76213431195</v>
      </c>
    </row>
    <row r="93" spans="1:11" ht="12.75" customHeight="1" x14ac:dyDescent="0.25">
      <c r="A93" s="574" t="s">
        <v>441</v>
      </c>
      <c r="B93" s="169"/>
      <c r="C93" s="748">
        <v>-2203842.77</v>
      </c>
      <c r="D93" s="753"/>
      <c r="E93" s="733"/>
      <c r="F93" s="733">
        <v>489462.31999999995</v>
      </c>
      <c r="G93" s="733">
        <v>5284406.0799999991</v>
      </c>
      <c r="H93" s="733"/>
      <c r="I93" s="44">
        <f t="shared" si="1"/>
        <v>-5284406.0799999991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v>10648.17</v>
      </c>
      <c r="D96" s="753"/>
      <c r="E96" s="733"/>
      <c r="F96" s="733">
        <v>56550.97</v>
      </c>
      <c r="G96" s="733">
        <v>611115.14999999991</v>
      </c>
      <c r="H96" s="733"/>
      <c r="I96" s="44">
        <f t="shared" si="1"/>
        <v>-611115.14999999991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-1895919.1900000004</v>
      </c>
      <c r="D99" s="649">
        <f t="shared" si="18"/>
        <v>16117247.124831293</v>
      </c>
      <c r="E99" s="408">
        <f t="shared" si="18"/>
        <v>16117247.124831293</v>
      </c>
      <c r="F99" s="408">
        <f t="shared" si="18"/>
        <v>1139953.8899999994</v>
      </c>
      <c r="G99" s="408">
        <f t="shared" si="18"/>
        <v>12318856.119999999</v>
      </c>
      <c r="H99" s="408">
        <f t="shared" si="18"/>
        <v>16117247.124831293</v>
      </c>
      <c r="I99" s="258">
        <f t="shared" si="1"/>
        <v>3798391.0048312936</v>
      </c>
      <c r="J99" s="575">
        <f t="shared" si="2"/>
        <v>0.23567244303025187</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E100/12*12</f>
        <v>43464.979285039968</v>
      </c>
      <c r="I100" s="44">
        <f t="shared" si="1"/>
        <v>43464.979285039968</v>
      </c>
      <c r="J100" s="124">
        <f t="shared" si="2"/>
        <v>1</v>
      </c>
      <c r="K100" s="735">
        <f t="shared" ref="K100:K102" si="20">E100</f>
        <v>43464.979285039968</v>
      </c>
    </row>
    <row r="101" spans="1:11" ht="12.75" customHeight="1" x14ac:dyDescent="0.25">
      <c r="A101" s="574" t="s">
        <v>1287</v>
      </c>
      <c r="B101" s="169"/>
      <c r="C101" s="748">
        <v>-1895919.1900000004</v>
      </c>
      <c r="D101" s="753">
        <v>8669487.8244611993</v>
      </c>
      <c r="E101" s="733">
        <v>8669487.8244611993</v>
      </c>
      <c r="F101" s="733">
        <v>1139953.8899999994</v>
      </c>
      <c r="G101" s="733">
        <v>12318856.119999999</v>
      </c>
      <c r="H101" s="733">
        <f t="shared" si="19"/>
        <v>8669487.8244611993</v>
      </c>
      <c r="I101" s="44">
        <f>H101-G101</f>
        <v>-3649368.2955387998</v>
      </c>
      <c r="J101" s="124">
        <f>IF(I101=0,"",I101/H101)</f>
        <v>-0.42094393226345</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7404294.3210850535</v>
      </c>
      <c r="I102" s="44">
        <f t="shared" si="1"/>
        <v>7404294.3210850535</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499923.91999999963</v>
      </c>
      <c r="D117" s="577">
        <f t="shared" si="25"/>
        <v>163023969.56765977</v>
      </c>
      <c r="E117" s="578">
        <f t="shared" si="25"/>
        <v>163023969.56765977</v>
      </c>
      <c r="F117" s="578">
        <f t="shared" si="25"/>
        <v>2205313.9000000008</v>
      </c>
      <c r="G117" s="578">
        <f t="shared" si="25"/>
        <v>23831851.54000001</v>
      </c>
      <c r="H117" s="578">
        <f t="shared" si="25"/>
        <v>163023969.56765977</v>
      </c>
      <c r="I117" s="578">
        <f t="shared" si="1"/>
        <v>139192118.02765974</v>
      </c>
      <c r="J117" s="579">
        <f t="shared" si="2"/>
        <v>0.85381381889299968</v>
      </c>
      <c r="K117" s="580">
        <f>+K118+K130</f>
        <v>163023969.56765977</v>
      </c>
    </row>
    <row r="118" spans="1:11" ht="12.75" customHeight="1" x14ac:dyDescent="0.25">
      <c r="A118" s="518" t="s">
        <v>1298</v>
      </c>
      <c r="B118" s="169"/>
      <c r="C118" s="648">
        <f t="shared" ref="C118:H118" si="26">SUM(C119:C129)</f>
        <v>515271.29999999964</v>
      </c>
      <c r="D118" s="649">
        <f t="shared" si="26"/>
        <v>163023969.56765977</v>
      </c>
      <c r="E118" s="408">
        <f t="shared" si="26"/>
        <v>163023969.56765977</v>
      </c>
      <c r="F118" s="408">
        <f t="shared" si="26"/>
        <v>2202316.4200000009</v>
      </c>
      <c r="G118" s="408">
        <f t="shared" si="26"/>
        <v>23799459.520000011</v>
      </c>
      <c r="H118" s="408">
        <f t="shared" si="26"/>
        <v>163023969.56765977</v>
      </c>
      <c r="I118" s="258">
        <f t="shared" si="1"/>
        <v>139224510.04765975</v>
      </c>
      <c r="J118" s="575">
        <f t="shared" si="2"/>
        <v>0.85401251372349551</v>
      </c>
      <c r="K118" s="642">
        <f>SUM(K119:K129)</f>
        <v>163023969.56765977</v>
      </c>
    </row>
    <row r="119" spans="1:11" ht="12.75" customHeight="1" x14ac:dyDescent="0.25">
      <c r="A119" s="574" t="s">
        <v>1299</v>
      </c>
      <c r="B119" s="169"/>
      <c r="C119" s="748">
        <v>582720.22999999963</v>
      </c>
      <c r="D119" s="753">
        <v>108029891.92018634</v>
      </c>
      <c r="E119" s="733">
        <v>108029891.92018634</v>
      </c>
      <c r="F119" s="733">
        <v>2131920.9500000007</v>
      </c>
      <c r="G119" s="733">
        <v>23038735.160000011</v>
      </c>
      <c r="H119" s="733">
        <f>E119/12*12</f>
        <v>108029891.92018634</v>
      </c>
      <c r="I119" s="44">
        <f t="shared" si="1"/>
        <v>84991156.760186329</v>
      </c>
      <c r="J119" s="124">
        <f t="shared" si="2"/>
        <v>0.78673740433785422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v>-67448.930000000008</v>
      </c>
      <c r="D122" s="753">
        <v>1728823.5775516906</v>
      </c>
      <c r="E122" s="733">
        <v>1728823.5775516906</v>
      </c>
      <c r="F122" s="733">
        <v>70395.47</v>
      </c>
      <c r="G122" s="733">
        <v>760724.35999999987</v>
      </c>
      <c r="H122" s="733">
        <f>E122/12*12</f>
        <v>1728823.5775516906</v>
      </c>
      <c r="I122" s="44">
        <f t="shared" si="1"/>
        <v>968099.21755169076</v>
      </c>
      <c r="J122" s="124">
        <f t="shared" si="2"/>
        <v>0.559975714192124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E129/12*12</f>
        <v>53265254.069921732</v>
      </c>
      <c r="I129" s="44">
        <f t="shared" si="1"/>
        <v>53265254.069921732</v>
      </c>
      <c r="J129" s="124">
        <f t="shared" si="2"/>
        <v>1</v>
      </c>
      <c r="K129" s="735">
        <f>E129</f>
        <v>53265254.069921724</v>
      </c>
    </row>
    <row r="130" spans="1:11" ht="12.75" customHeight="1" x14ac:dyDescent="0.25">
      <c r="A130" s="518" t="s">
        <v>711</v>
      </c>
      <c r="B130" s="169"/>
      <c r="C130" s="648">
        <f t="shared" ref="C130:H130" si="27">SUM(C131:C133)</f>
        <v>-15347.38</v>
      </c>
      <c r="D130" s="649">
        <f t="shared" si="27"/>
        <v>0</v>
      </c>
      <c r="E130" s="408">
        <f t="shared" si="27"/>
        <v>0</v>
      </c>
      <c r="F130" s="408">
        <f t="shared" si="27"/>
        <v>2997.48</v>
      </c>
      <c r="G130" s="408">
        <f t="shared" si="27"/>
        <v>32392.02</v>
      </c>
      <c r="H130" s="408">
        <f t="shared" si="27"/>
        <v>0</v>
      </c>
      <c r="I130" s="258">
        <f t="shared" si="1"/>
        <v>-32392.02</v>
      </c>
      <c r="J130" s="575" t="e">
        <f t="shared" si="2"/>
        <v>#DIV/0!</v>
      </c>
      <c r="K130" s="642">
        <f>SUM(K131:K133)</f>
        <v>0</v>
      </c>
    </row>
    <row r="131" spans="1:11" ht="12.75" customHeight="1" x14ac:dyDescent="0.25">
      <c r="A131" s="574" t="s">
        <v>1309</v>
      </c>
      <c r="B131" s="169"/>
      <c r="C131" s="748">
        <v>1918.35</v>
      </c>
      <c r="D131" s="753"/>
      <c r="E131" s="733"/>
      <c r="F131" s="733">
        <v>2997.48</v>
      </c>
      <c r="G131" s="733">
        <v>32392.02</v>
      </c>
      <c r="H131" s="733"/>
      <c r="I131" s="44">
        <f t="shared" si="1"/>
        <v>-32392.02</v>
      </c>
      <c r="J131" s="124" t="e">
        <f t="shared" si="2"/>
        <v>#DIV/0!</v>
      </c>
      <c r="K131" s="735"/>
    </row>
    <row r="132" spans="1:11" ht="12.75" customHeight="1" x14ac:dyDescent="0.25">
      <c r="A132" s="574" t="s">
        <v>1310</v>
      </c>
      <c r="B132" s="169"/>
      <c r="C132" s="748">
        <v>-17265.73</v>
      </c>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-608584.66999999993</v>
      </c>
      <c r="D138" s="941">
        <f t="shared" si="30"/>
        <v>84895040.004187733</v>
      </c>
      <c r="E138" s="942">
        <f t="shared" si="30"/>
        <v>84895040.004187733</v>
      </c>
      <c r="F138" s="942">
        <f t="shared" si="30"/>
        <v>889563.82999999984</v>
      </c>
      <c r="G138" s="942">
        <f t="shared" si="30"/>
        <v>9613028.6500000004</v>
      </c>
      <c r="H138" s="942">
        <f t="shared" si="30"/>
        <v>84895040.004187733</v>
      </c>
      <c r="I138" s="942">
        <f t="shared" ref="I138:I146" si="31">H138-G138</f>
        <v>75282011.354187727</v>
      </c>
      <c r="J138" s="324">
        <f t="shared" si="29"/>
        <v>0.88676572094758643</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-608584.66999999993</v>
      </c>
      <c r="D140" s="649">
        <f t="shared" si="32"/>
        <v>84895040.004187733</v>
      </c>
      <c r="E140" s="408">
        <f t="shared" si="32"/>
        <v>84895040.004187733</v>
      </c>
      <c r="F140" s="408">
        <f t="shared" si="32"/>
        <v>889563.82999999984</v>
      </c>
      <c r="G140" s="408">
        <f t="shared" si="32"/>
        <v>9613028.6500000004</v>
      </c>
      <c r="H140" s="408">
        <f t="shared" si="32"/>
        <v>84895040.004187733</v>
      </c>
      <c r="I140" s="258">
        <f t="shared" si="31"/>
        <v>75282011.354187727</v>
      </c>
      <c r="J140" s="575">
        <f t="shared" si="29"/>
        <v>0.88676572094758643</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v>-608584.66999999993</v>
      </c>
      <c r="D144" s="753">
        <v>83121985.914557993</v>
      </c>
      <c r="E144" s="733">
        <v>83121985.914557993</v>
      </c>
      <c r="F144" s="733">
        <v>889563.82999999984</v>
      </c>
      <c r="G144" s="733">
        <v>9613028.6500000004</v>
      </c>
      <c r="H144" s="733">
        <f t="shared" ref="H144:H145" si="33">E144/12*12</f>
        <v>83121985.914557993</v>
      </c>
      <c r="I144" s="44">
        <f t="shared" si="31"/>
        <v>73508957.264557987</v>
      </c>
      <c r="J144" s="124">
        <f t="shared" si="29"/>
        <v>0.88435034913769572</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1773054.0896297405</v>
      </c>
      <c r="I145" s="44">
        <f t="shared" si="31"/>
        <v>1773054.0896297405</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-1746067.3700000003</v>
      </c>
      <c r="D148" s="577">
        <f t="shared" si="35"/>
        <v>65065902.198033363</v>
      </c>
      <c r="E148" s="578">
        <f t="shared" si="35"/>
        <v>57565902.473793715</v>
      </c>
      <c r="F148" s="578">
        <f t="shared" si="35"/>
        <v>906202.58</v>
      </c>
      <c r="G148" s="578">
        <f t="shared" si="35"/>
        <v>9422344.2100000009</v>
      </c>
      <c r="H148" s="578">
        <f t="shared" si="35"/>
        <v>57565902.473793715</v>
      </c>
      <c r="I148" s="578">
        <f>H148-G148</f>
        <v>48143558.263793714</v>
      </c>
      <c r="J148" s="324">
        <f>IF(I148=0,"",I148/H148)</f>
        <v>0.83632074187858996</v>
      </c>
      <c r="K148" s="580">
        <f>SUM(K149)</f>
        <v>57565902.473793715</v>
      </c>
    </row>
    <row r="149" spans="1:12" ht="12.75" customHeight="1" x14ac:dyDescent="0.25">
      <c r="A149" s="518" t="s">
        <v>1321</v>
      </c>
      <c r="B149" s="169"/>
      <c r="C149" s="748">
        <v>-1746067.3700000003</v>
      </c>
      <c r="D149" s="753">
        <v>65065902.198033363</v>
      </c>
      <c r="E149" s="733">
        <v>57565902.473793715</v>
      </c>
      <c r="F149" s="733">
        <v>906202.58</v>
      </c>
      <c r="G149" s="733">
        <v>9422344.2100000009</v>
      </c>
      <c r="H149" s="733">
        <f>E149/12*12</f>
        <v>57565902.473793715</v>
      </c>
      <c r="I149" s="44">
        <f>H149-G149</f>
        <v>48143558.263793714</v>
      </c>
      <c r="J149" s="124">
        <f>IF(I149=0,"",I149/H149)</f>
        <v>0.83632074187858996</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-183148.56999999992</v>
      </c>
      <c r="D151" s="577">
        <f t="shared" si="36"/>
        <v>27965528.287261501</v>
      </c>
      <c r="E151" s="578">
        <f t="shared" si="36"/>
        <v>27965528.287261501</v>
      </c>
      <c r="F151" s="578">
        <f t="shared" si="36"/>
        <v>140891.89999999997</v>
      </c>
      <c r="G151" s="578">
        <f t="shared" si="36"/>
        <v>1512567.74</v>
      </c>
      <c r="H151" s="578">
        <f t="shared" si="36"/>
        <v>27965528.287261501</v>
      </c>
      <c r="I151" s="578">
        <f>H151-G151</f>
        <v>26452960.547261503</v>
      </c>
      <c r="J151" s="324">
        <f>IF(I151=0,"",I151/H151)</f>
        <v>0.94591313546939204</v>
      </c>
      <c r="K151" s="580">
        <f>SUM(K152)</f>
        <v>27965528.287261501</v>
      </c>
    </row>
    <row r="152" spans="1:12" ht="12.75" customHeight="1" x14ac:dyDescent="0.25">
      <c r="A152" s="518" t="s">
        <v>1322</v>
      </c>
      <c r="B152" s="169"/>
      <c r="C152" s="748">
        <v>-183148.56999999992</v>
      </c>
      <c r="D152" s="753">
        <v>27965528.287261501</v>
      </c>
      <c r="E152" s="733">
        <v>27965528.287261501</v>
      </c>
      <c r="F152" s="733">
        <v>140891.89999999997</v>
      </c>
      <c r="G152" s="733">
        <v>1512567.74</v>
      </c>
      <c r="H152" s="733">
        <f>E152/12*12</f>
        <v>27965528.287261501</v>
      </c>
      <c r="I152" s="44">
        <f>H152-G152</f>
        <v>26452960.547261503</v>
      </c>
      <c r="J152" s="124">
        <f>IF(I152=0,"",I152/H152)</f>
        <v>0.94591313546939204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-2007849.4199999995</v>
      </c>
      <c r="D154" s="577">
        <f t="shared" si="37"/>
        <v>7418705.5248501254</v>
      </c>
      <c r="E154" s="578">
        <f t="shared" si="37"/>
        <v>8368705.5248501254</v>
      </c>
      <c r="F154" s="578">
        <f t="shared" si="37"/>
        <v>952145.03000000038</v>
      </c>
      <c r="G154" s="578">
        <f t="shared" si="37"/>
        <v>8442337.7899999972</v>
      </c>
      <c r="H154" s="578">
        <f t="shared" si="37"/>
        <v>8368705.5248501264</v>
      </c>
      <c r="I154" s="578">
        <f>H154-G154</f>
        <v>-73632.265149870887</v>
      </c>
      <c r="J154" s="324">
        <f>IF(I154=0,"",I154/H154)</f>
        <v>-8.7985250444320724E-3</v>
      </c>
      <c r="K154" s="580">
        <f>SUM(K155)</f>
        <v>8368705.5248501254</v>
      </c>
    </row>
    <row r="155" spans="1:12" ht="12.75" customHeight="1" x14ac:dyDescent="0.25">
      <c r="A155" s="518" t="s">
        <v>1323</v>
      </c>
      <c r="B155" s="169"/>
      <c r="C155" s="748">
        <v>-2007849.4199999995</v>
      </c>
      <c r="D155" s="753">
        <v>7418705.5248501254</v>
      </c>
      <c r="E155" s="733">
        <v>8368705.5248501254</v>
      </c>
      <c r="F155" s="733">
        <v>952145.03000000038</v>
      </c>
      <c r="G155" s="733">
        <v>8442337.7899999972</v>
      </c>
      <c r="H155" s="733">
        <f>E155/12*12</f>
        <v>8368705.5248501264</v>
      </c>
      <c r="I155" s="44">
        <f>H155-G155</f>
        <v>-73632.265149870887</v>
      </c>
      <c r="J155" s="124">
        <f>IF(I155=0,"",I155/H155)</f>
        <v>-8.7985250444320724E-3</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-895310.18000000017</v>
      </c>
      <c r="D157" s="577">
        <f t="shared" si="38"/>
        <v>106660.31115601346</v>
      </c>
      <c r="E157" s="578">
        <f t="shared" si="38"/>
        <v>106660.31115601346</v>
      </c>
      <c r="F157" s="578">
        <f t="shared" si="38"/>
        <v>1324468.9200000004</v>
      </c>
      <c r="G157" s="578">
        <f t="shared" si="38"/>
        <v>13779159.579999996</v>
      </c>
      <c r="H157" s="578">
        <f t="shared" si="38"/>
        <v>106660.31115601346</v>
      </c>
      <c r="I157" s="578">
        <f>H157-G157</f>
        <v>-13672499.268843982</v>
      </c>
      <c r="J157" s="324">
        <f>IF(I157=0,"",I157/H157)</f>
        <v>-128.18731841917315</v>
      </c>
      <c r="K157" s="580">
        <f>SUM(K158)</f>
        <v>106660.31115601346</v>
      </c>
    </row>
    <row r="158" spans="1:12" ht="12.75" customHeight="1" x14ac:dyDescent="0.25">
      <c r="A158" s="518" t="s">
        <v>1324</v>
      </c>
      <c r="B158" s="169"/>
      <c r="C158" s="748">
        <v>-895310.18000000017</v>
      </c>
      <c r="D158" s="753">
        <v>106660.31115601346</v>
      </c>
      <c r="E158" s="733">
        <v>106660.31115601346</v>
      </c>
      <c r="F158" s="733">
        <v>1324468.9200000004</v>
      </c>
      <c r="G158" s="733">
        <v>13779159.579999996</v>
      </c>
      <c r="H158" s="733">
        <f>E158/12*12</f>
        <v>106660.31115601346</v>
      </c>
      <c r="I158" s="44">
        <f>H158-G158</f>
        <v>-13672499.268843982</v>
      </c>
      <c r="J158" s="124">
        <f>IF(I158=0,"",I158/H158)</f>
        <v>-128.18731841917315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302561252.49000001</v>
      </c>
      <c r="D166" s="271">
        <f t="shared" si="41"/>
        <v>488991448.27473986</v>
      </c>
      <c r="E166" s="55">
        <f t="shared" si="41"/>
        <v>482441448.55050027</v>
      </c>
      <c r="F166" s="55">
        <f t="shared" si="41"/>
        <v>36250655.549999997</v>
      </c>
      <c r="G166" s="55">
        <f t="shared" si="41"/>
        <v>388459864.19000006</v>
      </c>
      <c r="H166" s="55">
        <f t="shared" si="41"/>
        <v>482441448.55050027</v>
      </c>
      <c r="I166" s="55">
        <f t="shared" si="1"/>
        <v>93981584.360500216</v>
      </c>
      <c r="J166" s="290">
        <f t="shared" si="2"/>
        <v>0.19480412523191931</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"&amp;S71Se&amp; " - "&amp;Head57</f>
        <v>KZN225 Msunduzi - Supporting Table SC13e Monthly Budget Statement - capital expenditure on upgrading of existing assets by asset class - Q4 Fourth Quarter</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35744822.079999998</v>
      </c>
      <c r="G7" s="102">
        <f t="shared" si="0"/>
        <v>103213642.16999997</v>
      </c>
      <c r="H7" s="102">
        <f t="shared" si="0"/>
        <v>102280127.31575039</v>
      </c>
      <c r="I7" s="101">
        <f t="shared" ref="I7:I133" si="1">H7-G7</f>
        <v>-933514.85424958169</v>
      </c>
      <c r="J7" s="579">
        <f t="shared" ref="J7:J136" si="2">IF(I7=0,"",I7/H7)</f>
        <v>-9.1270404011887379E-3</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9860928.5</v>
      </c>
      <c r="G8" s="608">
        <f t="shared" si="3"/>
        <v>59061068.889999993</v>
      </c>
      <c r="H8" s="608">
        <f t="shared" si="3"/>
        <v>70819012</v>
      </c>
      <c r="I8" s="258">
        <f t="shared" si="1"/>
        <v>11757943.110000007</v>
      </c>
      <c r="J8" s="575">
        <f t="shared" si="2"/>
        <v>0.16602805910367693</v>
      </c>
      <c r="K8" s="610">
        <f>SUM(K9:K12)</f>
        <v>70819012</v>
      </c>
    </row>
    <row r="9" spans="1:11" ht="12.75" customHeight="1" x14ac:dyDescent="0.25">
      <c r="A9" s="574" t="s">
        <v>168</v>
      </c>
      <c r="B9" s="169"/>
      <c r="C9" s="748"/>
      <c r="D9" s="745">
        <v>31255314.729466628</v>
      </c>
      <c r="E9" s="733">
        <v>70819012</v>
      </c>
      <c r="F9" s="733">
        <v>9398637.1799999997</v>
      </c>
      <c r="G9" s="733">
        <v>55451900.269999996</v>
      </c>
      <c r="H9" s="733">
        <f>E9/12*12</f>
        <v>70819012</v>
      </c>
      <c r="I9" s="258">
        <f t="shared" si="1"/>
        <v>15367111.730000004</v>
      </c>
      <c r="J9" s="575">
        <f t="shared" si="2"/>
        <v>0.21699133179096036</v>
      </c>
      <c r="K9" s="735">
        <f>E9</f>
        <v>70819012</v>
      </c>
    </row>
    <row r="10" spans="1:11" ht="12.75" customHeight="1" x14ac:dyDescent="0.25">
      <c r="A10" s="574" t="s">
        <v>1217</v>
      </c>
      <c r="B10" s="169"/>
      <c r="C10" s="748"/>
      <c r="D10" s="745"/>
      <c r="E10" s="733"/>
      <c r="F10" s="733">
        <v>462291.32</v>
      </c>
      <c r="G10" s="733">
        <v>3609168.6200000006</v>
      </c>
      <c r="H10" s="733"/>
      <c r="I10" s="258">
        <f t="shared" si="1"/>
        <v>-3609168.6200000006</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22405925.140000001</v>
      </c>
      <c r="G17" s="408">
        <f t="shared" si="5"/>
        <v>26990126.439999998</v>
      </c>
      <c r="H17" s="408">
        <f t="shared" si="5"/>
        <v>16185479.849562876</v>
      </c>
      <c r="I17" s="258">
        <f t="shared" si="1"/>
        <v>-10804646.590437122</v>
      </c>
      <c r="J17" s="575">
        <f t="shared" si="2"/>
        <v>-0.66755182366304233</v>
      </c>
      <c r="K17" s="642">
        <f>SUM(K18:K26)</f>
        <v>16185479.849562876</v>
      </c>
    </row>
    <row r="18" spans="1:11" ht="12.75" customHeight="1" x14ac:dyDescent="0.25">
      <c r="A18" s="574" t="s">
        <v>1225</v>
      </c>
      <c r="B18" s="169"/>
      <c r="C18" s="748"/>
      <c r="D18" s="745">
        <v>16185479.849562876</v>
      </c>
      <c r="E18" s="733">
        <v>16185479.849562876</v>
      </c>
      <c r="F18" s="733"/>
      <c r="G18" s="733"/>
      <c r="H18" s="733">
        <f>E18/12*12</f>
        <v>16185479.849562876</v>
      </c>
      <c r="I18" s="258">
        <f t="shared" si="1"/>
        <v>16185479.849562876</v>
      </c>
      <c r="J18" s="575">
        <f t="shared" si="2"/>
        <v>1</v>
      </c>
      <c r="K18" s="735">
        <f>E18</f>
        <v>16185479.849562876</v>
      </c>
    </row>
    <row r="19" spans="1:11" ht="12.75" customHeight="1" x14ac:dyDescent="0.25">
      <c r="A19" s="574" t="s">
        <v>1226</v>
      </c>
      <c r="B19" s="169"/>
      <c r="C19" s="748"/>
      <c r="D19" s="745"/>
      <c r="E19" s="733"/>
      <c r="F19" s="733">
        <v>250189.71</v>
      </c>
      <c r="G19" s="733">
        <v>4834391.01</v>
      </c>
      <c r="H19" s="733"/>
      <c r="I19" s="258">
        <f t="shared" si="1"/>
        <v>-4834391.01</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v>22155735.43</v>
      </c>
      <c r="G21" s="733">
        <v>22155735.43</v>
      </c>
      <c r="H21" s="733"/>
      <c r="I21" s="258">
        <f t="shared" si="1"/>
        <v>-22155735.43</v>
      </c>
      <c r="J21" s="575" t="e">
        <f t="shared" si="2"/>
        <v>#DIV/0!</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3477968.44</v>
      </c>
      <c r="G27" s="408">
        <f t="shared" si="6"/>
        <v>15228935.02</v>
      </c>
      <c r="H27" s="408">
        <f t="shared" si="6"/>
        <v>5463210.4661875041</v>
      </c>
      <c r="I27" s="258">
        <f t="shared" si="1"/>
        <v>-9765724.5538124964</v>
      </c>
      <c r="J27" s="575">
        <f t="shared" si="2"/>
        <v>-1.7875431697632358</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E30/12*12</f>
        <v>5463210.4661875041</v>
      </c>
      <c r="I30" s="258">
        <f t="shared" si="1"/>
        <v>5463210.4661875041</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3477968.44</v>
      </c>
      <c r="G34" s="733">
        <v>15228935.02</v>
      </c>
      <c r="H34" s="733"/>
      <c r="I34" s="258">
        <f t="shared" si="1"/>
        <v>-15228935.02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1933511.8199999998</v>
      </c>
      <c r="H45" s="408">
        <f t="shared" si="8"/>
        <v>9812425</v>
      </c>
      <c r="I45" s="258">
        <f t="shared" si="1"/>
        <v>7878913.1799999997</v>
      </c>
      <c r="J45" s="575">
        <f t="shared" si="2"/>
        <v>0.80295270333276425</v>
      </c>
      <c r="K45" s="642">
        <f>SUM(K46:K52)</f>
        <v>9812425</v>
      </c>
    </row>
    <row r="46" spans="1:11" ht="12.75" customHeight="1" x14ac:dyDescent="0.25">
      <c r="A46" s="574" t="s">
        <v>1249</v>
      </c>
      <c r="B46" s="169"/>
      <c r="C46" s="748"/>
      <c r="D46" s="745">
        <v>4127956.9724179767</v>
      </c>
      <c r="E46" s="733">
        <v>9812425</v>
      </c>
      <c r="F46" s="733"/>
      <c r="G46" s="733">
        <v>1933511.8199999998</v>
      </c>
      <c r="H46" s="733">
        <f>E46/12*12</f>
        <v>9812425</v>
      </c>
      <c r="I46" s="258">
        <f t="shared" si="1"/>
        <v>7878913.1799999997</v>
      </c>
      <c r="J46" s="575">
        <f t="shared" si="2"/>
        <v>0.80295270333276425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98127626.799999997</v>
      </c>
      <c r="G75" s="578">
        <f t="shared" si="12"/>
        <v>102070925.61</v>
      </c>
      <c r="H75" s="578">
        <f t="shared" si="12"/>
        <v>8390471</v>
      </c>
      <c r="I75" s="578">
        <f t="shared" si="1"/>
        <v>-93680454.609999999</v>
      </c>
      <c r="J75" s="579">
        <f t="shared" si="2"/>
        <v>-11.165100816152037</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98127626.799999997</v>
      </c>
      <c r="G76" s="408">
        <f t="shared" si="13"/>
        <v>102070925.61</v>
      </c>
      <c r="H76" s="408">
        <f t="shared" si="13"/>
        <v>5774410</v>
      </c>
      <c r="I76" s="258">
        <f t="shared" si="1"/>
        <v>-96296515.609999999</v>
      </c>
      <c r="J76" s="575">
        <f t="shared" si="2"/>
        <v>-16.67642505641269</v>
      </c>
      <c r="K76" s="642">
        <f>SUM(K77:K98)</f>
        <v>5774410</v>
      </c>
    </row>
    <row r="77" spans="1:11" ht="12.75" customHeight="1" x14ac:dyDescent="0.25">
      <c r="A77" s="574" t="s">
        <v>1269</v>
      </c>
      <c r="B77" s="169"/>
      <c r="C77" s="748"/>
      <c r="D77" s="753"/>
      <c r="E77" s="733">
        <v>5774410</v>
      </c>
      <c r="F77" s="733">
        <v>94992934</v>
      </c>
      <c r="G77" s="733">
        <v>96538812.310000002</v>
      </c>
      <c r="H77" s="733">
        <f>E77/12*12</f>
        <v>5774410</v>
      </c>
      <c r="I77" s="44">
        <f t="shared" si="1"/>
        <v>-90764402.310000002</v>
      </c>
      <c r="J77" s="124">
        <f t="shared" si="2"/>
        <v>-15.7183854818068</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2181395</v>
      </c>
      <c r="H86" s="733"/>
      <c r="I86" s="44">
        <f t="shared" si="1"/>
        <v>-2181395</v>
      </c>
      <c r="J86" s="124" t="e">
        <f t="shared" si="2"/>
        <v>#DIV/0!</v>
      </c>
      <c r="K86" s="735"/>
    </row>
    <row r="87" spans="1:11" ht="12.75" customHeight="1" x14ac:dyDescent="0.25">
      <c r="A87" s="574" t="s">
        <v>1277</v>
      </c>
      <c r="B87" s="169"/>
      <c r="C87" s="748"/>
      <c r="D87" s="753"/>
      <c r="E87" s="733"/>
      <c r="F87" s="733">
        <v>3134692.8</v>
      </c>
      <c r="G87" s="733">
        <v>3350718.3</v>
      </c>
      <c r="H87" s="733"/>
      <c r="I87" s="44">
        <f t="shared" si="1"/>
        <v>-3350718.3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2616061</v>
      </c>
      <c r="I99" s="258">
        <f t="shared" si="1"/>
        <v>2616061</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E101/12*12</f>
        <v>2616061</v>
      </c>
      <c r="I101" s="44">
        <f>H101-G101</f>
        <v>2616061</v>
      </c>
      <c r="J101" s="124">
        <f>IF(I101=0,"",I101/H101)</f>
        <v>1</v>
      </c>
      <c r="K101" s="735">
        <f>E101</f>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201733761.11000001</v>
      </c>
      <c r="D103" s="264">
        <f t="shared" si="15"/>
        <v>4066785.1172906831</v>
      </c>
      <c r="E103" s="99">
        <f t="shared" si="15"/>
        <v>8300000</v>
      </c>
      <c r="F103" s="99">
        <f t="shared" si="15"/>
        <v>0</v>
      </c>
      <c r="G103" s="99">
        <f t="shared" si="15"/>
        <v>0</v>
      </c>
      <c r="H103" s="99">
        <f t="shared" si="15"/>
        <v>8300000</v>
      </c>
      <c r="I103" s="99">
        <f t="shared" si="1"/>
        <v>8300000</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201733761.11000001</v>
      </c>
      <c r="D108" s="753">
        <v>4066785.1172906831</v>
      </c>
      <c r="E108" s="733">
        <v>8300000</v>
      </c>
      <c r="F108" s="733"/>
      <c r="G108" s="733"/>
      <c r="H108" s="733">
        <f>E108/12*12</f>
        <v>8300000</v>
      </c>
      <c r="I108" s="44">
        <f t="shared" si="1"/>
        <v>8300000</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244264000</v>
      </c>
      <c r="I117" s="578">
        <f t="shared" si="1"/>
        <v>244264000</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244264000</v>
      </c>
      <c r="I130" s="258">
        <f t="shared" si="1"/>
        <v>244264000</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E132/12*12</f>
        <v>244264000</v>
      </c>
      <c r="I132" s="44">
        <f t="shared" si="1"/>
        <v>244264000</v>
      </c>
      <c r="J132" s="124">
        <f t="shared" si="2"/>
        <v>1</v>
      </c>
      <c r="K132" s="735">
        <f>E132</f>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300000</v>
      </c>
      <c r="I138" s="942">
        <f t="shared" ref="I138:I146" si="25">H138-G138</f>
        <v>300000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300000</v>
      </c>
      <c r="I140" s="258">
        <f t="shared" si="25"/>
        <v>300000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E144/12*12</f>
        <v>300000</v>
      </c>
      <c r="I144" s="44">
        <f t="shared" si="25"/>
        <v>300000</v>
      </c>
      <c r="J144" s="124">
        <f t="shared" si="23"/>
        <v>1</v>
      </c>
      <c r="K144" s="735">
        <f>E144</f>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200000</v>
      </c>
      <c r="I148" s="578">
        <f>H148-G148</f>
        <v>200000</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E149/12*12</f>
        <v>200000</v>
      </c>
      <c r="I149" s="44">
        <f>H149-G149</f>
        <v>200000</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11500194.66492188</v>
      </c>
      <c r="I151" s="578">
        <f>H151-G151</f>
        <v>11500194.66492188</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E152/12*12</f>
        <v>11500194.66492188</v>
      </c>
      <c r="I152" s="44">
        <f>H152-G152</f>
        <v>11500194.66492188</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15562.55</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v>15562.55</v>
      </c>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-6604571.5</v>
      </c>
      <c r="D157" s="577">
        <f t="shared" si="30"/>
        <v>48149976.690004274</v>
      </c>
      <c r="E157" s="578">
        <f t="shared" si="30"/>
        <v>88758324</v>
      </c>
      <c r="F157" s="578">
        <f t="shared" si="30"/>
        <v>0</v>
      </c>
      <c r="G157" s="578">
        <f t="shared" si="30"/>
        <v>0</v>
      </c>
      <c r="H157" s="578">
        <f t="shared" si="30"/>
        <v>88758324</v>
      </c>
      <c r="I157" s="578">
        <f>H157-G157</f>
        <v>88758324</v>
      </c>
      <c r="J157" s="324">
        <f>IF(I157=0,"",I157/H157)</f>
        <v>1</v>
      </c>
      <c r="K157" s="580">
        <f>SUM(K158)</f>
        <v>88758324</v>
      </c>
    </row>
    <row r="158" spans="1:12" ht="12.75" customHeight="1" x14ac:dyDescent="0.25">
      <c r="A158" s="518" t="s">
        <v>1324</v>
      </c>
      <c r="B158" s="169"/>
      <c r="C158" s="748">
        <v>-6604571.5</v>
      </c>
      <c r="D158" s="753">
        <v>48149976.690004274</v>
      </c>
      <c r="E158" s="733">
        <v>88758324</v>
      </c>
      <c r="F158" s="733"/>
      <c r="G158" s="733"/>
      <c r="H158" s="733">
        <f>E158/12*12</f>
        <v>88758324</v>
      </c>
      <c r="I158" s="44">
        <f>H158-G158</f>
        <v>88758324</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195144752.16000003</v>
      </c>
      <c r="D166" s="271">
        <f t="shared" si="33"/>
        <v>109450000</v>
      </c>
      <c r="E166" s="55">
        <f t="shared" si="33"/>
        <v>463993116.98067224</v>
      </c>
      <c r="F166" s="55">
        <f t="shared" si="33"/>
        <v>133872448.88</v>
      </c>
      <c r="G166" s="55">
        <f t="shared" si="33"/>
        <v>205284567.77999997</v>
      </c>
      <c r="H166" s="55">
        <f t="shared" si="33"/>
        <v>463993116.98067224</v>
      </c>
      <c r="I166" s="55">
        <f>H166-G166</f>
        <v>258708549.20067227</v>
      </c>
      <c r="J166" s="290">
        <f>IF(I166=0,"",I166/H166)</f>
        <v>0.55756979949219554</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-59610022.050000012</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abSelected="1" workbookViewId="0">
      <selection activeCell="F32" sqref="F32"/>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30125543.949999999</v>
      </c>
      <c r="F11" s="43"/>
      <c r="G11" s="43"/>
      <c r="H11" s="43"/>
      <c r="I11" s="43"/>
      <c r="J11" s="43"/>
      <c r="K11" s="43"/>
    </row>
    <row r="12" spans="1:11" x14ac:dyDescent="0.25">
      <c r="A12" s="42" t="str">
        <f>LEFT('SC12'!A15,3)</f>
        <v>Apr</v>
      </c>
      <c r="B12" s="43">
        <f>'SC12'!B15</f>
        <v>66093583.333333336</v>
      </c>
      <c r="C12" s="43">
        <f>'SC12'!C15</f>
        <v>48407631.75</v>
      </c>
      <c r="D12" s="43">
        <f>'SC12'!D15</f>
        <v>0</v>
      </c>
      <c r="E12" s="45">
        <f>'SC12'!E15</f>
        <v>69137296.340000004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35226258.649999999</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265762096.38999999</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315959671.13999999</v>
      </c>
      <c r="C36" s="45">
        <f>'SC12'!G14</f>
        <v>435668685.75</v>
      </c>
      <c r="D36" s="43"/>
      <c r="E36" s="43"/>
      <c r="F36" s="43"/>
      <c r="G36" s="43"/>
      <c r="H36" s="43"/>
      <c r="I36" s="43"/>
    </row>
    <row r="37" spans="1:9" x14ac:dyDescent="0.25">
      <c r="A37" s="42" t="str">
        <f>LEFT('SC12'!A15,3)</f>
        <v>Apr</v>
      </c>
      <c r="B37" s="43">
        <f>'SC12'!F15</f>
        <v>385096967.48000002</v>
      </c>
      <c r="C37" s="45">
        <f>'SC12'!G15</f>
        <v>484076317.5</v>
      </c>
      <c r="D37" s="43"/>
      <c r="E37" s="43"/>
      <c r="F37" s="43"/>
      <c r="G37" s="43"/>
      <c r="H37" s="43"/>
      <c r="I37" s="43"/>
    </row>
    <row r="38" spans="1:9" x14ac:dyDescent="0.25">
      <c r="A38" s="42" t="str">
        <f>LEFT('SC12'!A16,3)</f>
        <v>May</v>
      </c>
      <c r="B38" s="43">
        <f>'SC12'!F16</f>
        <v>420323226.13</v>
      </c>
      <c r="C38" s="45">
        <f>'SC12'!G16</f>
        <v>532483949.25</v>
      </c>
      <c r="D38" s="43"/>
      <c r="E38" s="43"/>
      <c r="F38" s="43"/>
      <c r="G38" s="43"/>
      <c r="H38" s="43"/>
      <c r="I38" s="43"/>
    </row>
    <row r="39" spans="1:9" x14ac:dyDescent="0.25">
      <c r="A39" s="91" t="str">
        <f>LEFT('SC12'!A17,3)</f>
        <v>Jun</v>
      </c>
      <c r="B39" s="356">
        <f>'SC12'!F17</f>
        <v>686085322.51999998</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495946622.13999999</v>
      </c>
      <c r="C53" s="43">
        <f>'SC3'!D14</f>
        <v>138844660.98000002</v>
      </c>
      <c r="D53" s="43">
        <f>'SC3'!E14</f>
        <v>102730469.05999999</v>
      </c>
      <c r="E53" s="43">
        <f>'SC3'!F14</f>
        <v>93457799.460000008</v>
      </c>
      <c r="F53" s="43">
        <f>'SC3'!G14</f>
        <v>96779128.520000011</v>
      </c>
      <c r="G53" s="43">
        <f>'SC3'!H14</f>
        <v>89322560.310000002</v>
      </c>
      <c r="H53" s="43">
        <f>'SC3'!I14</f>
        <v>536820878.9000001</v>
      </c>
      <c r="I53" s="43">
        <f>'SC3'!J14</f>
        <v>3223225385.1199999</v>
      </c>
    </row>
    <row r="54" spans="1:9" x14ac:dyDescent="0.25">
      <c r="A54" s="61" t="str">
        <f>Head1</f>
        <v>2019/20</v>
      </c>
      <c r="B54" s="43">
        <f>'SC3'!C15</f>
        <v>704600774.9000001</v>
      </c>
      <c r="C54" s="43">
        <f>'SC3'!D15</f>
        <v>-4325301.0500000007</v>
      </c>
      <c r="D54" s="43">
        <f>'SC3'!E15</f>
        <v>117682805.63</v>
      </c>
      <c r="E54" s="43">
        <f>'SC3'!F15</f>
        <v>101021025.72999999</v>
      </c>
      <c r="F54" s="43">
        <f>'SC3'!G15</f>
        <v>97617113.170000002</v>
      </c>
      <c r="G54" s="43">
        <f>'SC3'!H15</f>
        <v>89416119.01000002</v>
      </c>
      <c r="H54" s="43">
        <f>'SC3'!I15</f>
        <v>534223289.34000009</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231349158.98169997</v>
      </c>
      <c r="C78" s="43">
        <f>'SC3'!K17</f>
        <v>238504287.60999998</v>
      </c>
      <c r="D78" s="43"/>
      <c r="E78" s="43"/>
      <c r="F78" s="43"/>
      <c r="G78" s="43"/>
      <c r="H78" s="43"/>
      <c r="I78" s="43"/>
      <c r="J78" s="43"/>
    </row>
    <row r="79" spans="1:10" x14ac:dyDescent="0.25">
      <c r="A79" s="61" t="str">
        <f>'SC3'!A18</f>
        <v>Commercial</v>
      </c>
      <c r="B79" s="43">
        <f>C79*0.97</f>
        <v>731018863.17030001</v>
      </c>
      <c r="C79" s="43">
        <f>'SC3'!K18</f>
        <v>753627693.99000001</v>
      </c>
      <c r="D79" s="43"/>
      <c r="E79" s="43"/>
      <c r="F79" s="43"/>
      <c r="G79" s="43"/>
      <c r="H79" s="43"/>
      <c r="I79" s="43"/>
      <c r="J79" s="43"/>
    </row>
    <row r="80" spans="1:10" x14ac:dyDescent="0.25">
      <c r="A80" s="61" t="str">
        <f>'SC3'!A19</f>
        <v>Households</v>
      </c>
      <c r="B80" s="43">
        <f>C80*0.97</f>
        <v>3461194444.1402998</v>
      </c>
      <c r="C80" s="43">
        <f>'SC3'!K19</f>
        <v>3568241694.9899998</v>
      </c>
    </row>
    <row r="81" spans="1:3" x14ac:dyDescent="0.25">
      <c r="A81" s="61" t="str">
        <f>'SC3'!A20</f>
        <v>Other</v>
      </c>
      <c r="B81" s="43">
        <f>C81*0.97</f>
        <v>210251213.06299996</v>
      </c>
      <c r="C81" s="43">
        <f>'SC3'!K20</f>
        <v>216753827.89999998</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383516063</v>
      </c>
      <c r="C103" s="405">
        <f>'SC4'!L7</f>
        <v>199793607.5</v>
      </c>
      <c r="D103" s="405">
        <f>'SC4'!L8</f>
        <v>0</v>
      </c>
      <c r="E103" s="405">
        <f>'SC4'!L9</f>
        <v>177794476.59999999</v>
      </c>
      <c r="F103" s="405">
        <f>'SC4'!L10</f>
        <v>0</v>
      </c>
      <c r="G103" s="405">
        <f>'SC4'!L11</f>
        <v>0</v>
      </c>
      <c r="H103" s="405">
        <f>'SC4'!L12</f>
        <v>139124965.30000001</v>
      </c>
      <c r="I103" s="405">
        <f>'SC4'!L13</f>
        <v>444019.49</v>
      </c>
      <c r="J103" s="405">
        <f>'SC4'!L14</f>
        <v>488555913.69999999</v>
      </c>
    </row>
    <row r="104" spans="1:10" x14ac:dyDescent="0.25">
      <c r="A104" s="61" t="str">
        <f>A53</f>
        <v>Budget Year 2020/21</v>
      </c>
      <c r="B104" s="43">
        <f>'SC4'!K6</f>
        <v>297700406.35999995</v>
      </c>
      <c r="C104" s="43">
        <f>'SC4'!K7</f>
        <v>351888433.12</v>
      </c>
      <c r="D104" s="43">
        <f>'SC4'!K8</f>
        <v>0</v>
      </c>
      <c r="E104" s="43">
        <f>'SC4'!K9</f>
        <v>212967458.86000004</v>
      </c>
      <c r="F104" s="43">
        <f>'SC4'!K10</f>
        <v>0</v>
      </c>
      <c r="G104" s="43">
        <f>'SC4'!K11</f>
        <v>0</v>
      </c>
      <c r="H104" s="43">
        <f>'SC4'!K12</f>
        <v>182954700.5</v>
      </c>
      <c r="I104" s="43">
        <f>'SC4'!K13</f>
        <v>242154.47</v>
      </c>
      <c r="J104" s="43">
        <f>'SC4'!K14</f>
        <v>610750761.25999987</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G25" sqref="G25"/>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8"/>
      <c r="D8" s="1018"/>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9"/>
      <c r="D11" s="1020"/>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1"/>
      <c r="D13" s="1021"/>
      <c r="F13" s="823"/>
      <c r="G13" s="823"/>
      <c r="H13" s="823"/>
      <c r="I13" s="853"/>
      <c r="J13" s="823"/>
      <c r="K13" s="824"/>
      <c r="L13" s="824"/>
      <c r="M13" s="824"/>
      <c r="N13" s="824"/>
      <c r="O13" s="824"/>
      <c r="P13" s="825"/>
    </row>
    <row r="14" spans="1:17" ht="13.5" customHeight="1" thickBot="1" x14ac:dyDescent="0.25">
      <c r="A14" s="1022" t="s">
        <v>345</v>
      </c>
      <c r="B14" s="1023"/>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4" t="s">
        <v>356</v>
      </c>
      <c r="B30" s="1025"/>
      <c r="C30" s="1026"/>
      <c r="D30" s="1027"/>
      <c r="P30" s="825"/>
    </row>
    <row r="31" spans="1:17" ht="13.5" customHeight="1" thickTop="1" x14ac:dyDescent="0.2">
      <c r="A31" s="863" t="s">
        <v>357</v>
      </c>
      <c r="B31" s="864"/>
      <c r="C31" s="1028" t="s">
        <v>358</v>
      </c>
      <c r="D31" s="1032"/>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30" t="s">
        <v>362</v>
      </c>
      <c r="B40" s="1033"/>
      <c r="C40" s="1030" t="s">
        <v>363</v>
      </c>
      <c r="D40" s="1033"/>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0" t="s">
        <v>364</v>
      </c>
      <c r="B49" s="1033"/>
      <c r="C49" s="1030" t="s">
        <v>365</v>
      </c>
      <c r="D49" s="1033"/>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4" t="s">
        <v>366</v>
      </c>
      <c r="B58" s="1035"/>
      <c r="C58" s="1026"/>
      <c r="D58" s="1036"/>
      <c r="E58" s="812"/>
      <c r="F58" s="854"/>
      <c r="G58" s="824"/>
      <c r="P58" s="825"/>
    </row>
    <row r="59" spans="1:17" s="874" customFormat="1" ht="13.5" customHeight="1" thickTop="1" x14ac:dyDescent="0.2">
      <c r="A59" s="863" t="s">
        <v>367</v>
      </c>
      <c r="B59" s="864"/>
      <c r="C59" s="1028" t="s">
        <v>368</v>
      </c>
      <c r="D59" s="1029"/>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0" t="s">
        <v>370</v>
      </c>
      <c r="D68" s="1031"/>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4" t="s">
        <v>371</v>
      </c>
      <c r="B77" s="1015"/>
      <c r="C77" s="1014" t="s">
        <v>371</v>
      </c>
      <c r="D77" s="1015"/>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4" t="s">
        <v>371</v>
      </c>
      <c r="B85" s="1015"/>
      <c r="C85" s="1014" t="s">
        <v>371</v>
      </c>
      <c r="D85" s="1015"/>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4" t="s">
        <v>371</v>
      </c>
      <c r="B93" s="1015"/>
      <c r="C93" s="1014" t="s">
        <v>371</v>
      </c>
      <c r="D93" s="1015"/>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4" t="s">
        <v>371</v>
      </c>
      <c r="B101" s="1015"/>
      <c r="C101" s="1014" t="s">
        <v>371</v>
      </c>
      <c r="D101" s="1015"/>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4" t="s">
        <v>371</v>
      </c>
      <c r="B109" s="1015"/>
      <c r="C109" s="1014" t="s">
        <v>371</v>
      </c>
      <c r="D109" s="1015"/>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4" t="s">
        <v>371</v>
      </c>
      <c r="B117" s="1015"/>
      <c r="C117" s="1014" t="s">
        <v>371</v>
      </c>
      <c r="D117" s="1015"/>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4" t="s">
        <v>371</v>
      </c>
      <c r="B125" s="1015"/>
      <c r="C125" s="1014" t="s">
        <v>371</v>
      </c>
      <c r="D125" s="1015"/>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4" t="s">
        <v>371</v>
      </c>
      <c r="B133" s="1015"/>
      <c r="C133" s="1016"/>
      <c r="D133" s="1017"/>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sqref="A1:XFD104857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Q4 Fourth Quarter</v>
      </c>
      <c r="B1" s="346"/>
      <c r="C1" s="346"/>
      <c r="D1" s="346"/>
      <c r="E1" s="346"/>
      <c r="F1" s="346"/>
      <c r="G1" s="346"/>
      <c r="H1" s="346"/>
      <c r="I1" s="346"/>
      <c r="J1" s="346"/>
    </row>
    <row r="2" spans="1:10" x14ac:dyDescent="0.25">
      <c r="A2" s="1038" t="str">
        <f>desc</f>
        <v>Description</v>
      </c>
      <c r="B2" s="158" t="str">
        <f>Head1</f>
        <v>2019/20</v>
      </c>
      <c r="C2" s="1040" t="str">
        <f>Head2</f>
        <v>Budget Year 2020/21</v>
      </c>
      <c r="D2" s="1041"/>
      <c r="E2" s="1041"/>
      <c r="F2" s="1041"/>
      <c r="G2" s="1041"/>
      <c r="H2" s="1041"/>
      <c r="I2" s="1041"/>
      <c r="J2" s="1042"/>
    </row>
    <row r="3" spans="1:10" ht="25.5" x14ac:dyDescent="0.25">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1177107606</v>
      </c>
      <c r="C6" s="649">
        <f>SUM('C4-FinPerf RE'!D6:D6)</f>
        <v>1269794594.0217998</v>
      </c>
      <c r="D6" s="408">
        <f>SUM('C4-FinPerf RE'!E6:E6)</f>
        <v>1269794594.0217998</v>
      </c>
      <c r="E6" s="408">
        <f>SUM('C4-FinPerf RE'!F6:F6)</f>
        <v>107120092.34</v>
      </c>
      <c r="F6" s="408">
        <f>SUM('C4-FinPerf RE'!G6:G6)</f>
        <v>1208875667.26</v>
      </c>
      <c r="G6" s="650">
        <f>SUM('C4-FinPerf RE'!H6:H6)</f>
        <v>1269794594.0217998</v>
      </c>
      <c r="H6" s="408">
        <f>F6-G6</f>
        <v>-60918926.761799812</v>
      </c>
      <c r="I6" s="591">
        <f>IF(H6=0,"",H6/G6)</f>
        <v>-4.7975418267337464E-2</v>
      </c>
      <c r="J6" s="642">
        <f>SUM('C4-FinPerf RE'!K6:K6)</f>
        <v>1269794594.0217998</v>
      </c>
    </row>
    <row r="7" spans="1:10" ht="12.75" customHeight="1" x14ac:dyDescent="0.25">
      <c r="A7" s="152" t="s">
        <v>962</v>
      </c>
      <c r="B7" s="648">
        <f>SUM('C4-FinPerf RE'!C7:C10)</f>
        <v>3104621257.9200001</v>
      </c>
      <c r="C7" s="649">
        <f>SUM('C4-FinPerf RE'!D7:D10)</f>
        <v>3575763602.2929115</v>
      </c>
      <c r="D7" s="408">
        <f>SUM('C4-FinPerf RE'!E7:E10)</f>
        <v>3575763602.2929115</v>
      </c>
      <c r="E7" s="408">
        <f>SUM('C4-FinPerf RE'!F7:F10)</f>
        <v>268032670.95000002</v>
      </c>
      <c r="F7" s="408">
        <f>SUM('C4-FinPerf RE'!G7:G10)</f>
        <v>3324133344.4099998</v>
      </c>
      <c r="G7" s="650">
        <f>SUM('C4-FinPerf RE'!H7:H10)</f>
        <v>3575763602.2929115</v>
      </c>
      <c r="H7" s="408">
        <f>F7-G7</f>
        <v>-251630257.88291168</v>
      </c>
      <c r="I7" s="207">
        <f>IF(H7=0,"",H7/G7)</f>
        <v>-7.0371055212250913E-2</v>
      </c>
      <c r="J7" s="642">
        <f>SUM('C4-FinPerf RE'!K7:K10)</f>
        <v>3575763602.2929115</v>
      </c>
    </row>
    <row r="8" spans="1:10" ht="12.75" customHeight="1" x14ac:dyDescent="0.25">
      <c r="A8" s="152" t="s">
        <v>496</v>
      </c>
      <c r="B8" s="648">
        <f>'C4-FinPerf RE'!C13</f>
        <v>14116343.539999999</v>
      </c>
      <c r="C8" s="649">
        <f>'C4-FinPerf RE'!D13</f>
        <v>15260422.42725</v>
      </c>
      <c r="D8" s="408">
        <f>'C4-FinPerf RE'!E13</f>
        <v>15369322.42725</v>
      </c>
      <c r="E8" s="408">
        <f>'C4-FinPerf RE'!F13</f>
        <v>1510115.0999999999</v>
      </c>
      <c r="F8" s="408">
        <f>'C4-FinPerf RE'!G13</f>
        <v>8530436.1999999993</v>
      </c>
      <c r="G8" s="650">
        <f>'C4-FinPerf RE'!H13</f>
        <v>15369322.427250002</v>
      </c>
      <c r="H8" s="408">
        <f>F8-G8</f>
        <v>-6838886.2272500023</v>
      </c>
      <c r="I8" s="207">
        <f>IF(H8=0,"",H8/G8)</f>
        <v>-0.44496992366589766</v>
      </c>
      <c r="J8" s="642">
        <f>'C4-FinPerf RE'!K13</f>
        <v>15369322.42725</v>
      </c>
    </row>
    <row r="9" spans="1:10" ht="12.75" customHeight="1" x14ac:dyDescent="0.25">
      <c r="A9" s="152" t="s">
        <v>1118</v>
      </c>
      <c r="B9" s="648">
        <f>'C4-FinPerf RE'!C19</f>
        <v>637128044</v>
      </c>
      <c r="C9" s="649">
        <f>'C4-FinPerf RE'!D19</f>
        <v>675483240</v>
      </c>
      <c r="D9" s="408">
        <f>'C4-FinPerf RE'!E19</f>
        <v>819982787</v>
      </c>
      <c r="E9" s="408">
        <f>'C4-FinPerf RE'!F19</f>
        <v>6178809.5300000003</v>
      </c>
      <c r="F9" s="408">
        <f>'C4-FinPerf RE'!G19</f>
        <v>751385897.5</v>
      </c>
      <c r="G9" s="650">
        <f>'C4-FinPerf RE'!H19</f>
        <v>819982787</v>
      </c>
      <c r="H9" s="408">
        <f>F9-G9</f>
        <v>-68596889.5</v>
      </c>
      <c r="I9" s="207">
        <f>IF(H9=0,"",H9/G9)</f>
        <v>-8.3656499365028739E-2</v>
      </c>
      <c r="J9" s="642">
        <f>'C4-FinPerf RE'!K19</f>
        <v>819982787</v>
      </c>
    </row>
    <row r="10" spans="1:10" ht="12.75" customHeight="1" x14ac:dyDescent="0.25">
      <c r="A10" s="232" t="s">
        <v>494</v>
      </c>
      <c r="B10" s="651">
        <f>'C4-FinPerf RE'!C12+'C4-FinPerf RE'!C14+'C4-FinPerf RE'!C15+'C4-FinPerf RE'!C16+'C4-FinPerf RE'!C17+'C4-FinPerf RE'!C18+'C4-FinPerf RE'!C20+'C4-FinPerf RE'!C21</f>
        <v>426957169.95999998</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23599862.23</v>
      </c>
      <c r="F10" s="409">
        <f>'C4-FinPerf RE'!G12+'C4-FinPerf RE'!G14+'C4-FinPerf RE'!G15+'C4-FinPerf RE'!G16+'C4-FinPerf RE'!G17+'C4-FinPerf RE'!G18+'C4-FinPerf RE'!G20+'C4-FinPerf RE'!G21</f>
        <v>277930365.38999999</v>
      </c>
      <c r="G10" s="653">
        <f>'C4-FinPerf RE'!H12+'C4-FinPerf RE'!H14+'C4-FinPerf RE'!H15+'C4-FinPerf RE'!H16+'C4-FinPerf RE'!H17+'C4-FinPerf RE'!H18+'C4-FinPerf RE'!H20+'C4-FinPerf RE'!H21</f>
        <v>381508399.13009989</v>
      </c>
      <c r="H10" s="409">
        <f>F10-G10</f>
        <v>-103578033.74009991</v>
      </c>
      <c r="I10" s="208">
        <f>IF(H10=0,"",H10/G10)</f>
        <v>-0.27149607708840584</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5359930421.4200001</v>
      </c>
      <c r="C11" s="656">
        <f t="shared" si="0"/>
        <v>5917810257.8720617</v>
      </c>
      <c r="D11" s="657">
        <f t="shared" si="0"/>
        <v>6062418704.8720617</v>
      </c>
      <c r="E11" s="657">
        <f t="shared" si="0"/>
        <v>406441550.15000004</v>
      </c>
      <c r="F11" s="657">
        <f t="shared" si="0"/>
        <v>5570855710.7600002</v>
      </c>
      <c r="G11" s="658">
        <f t="shared" si="0"/>
        <v>6062418704.8720617</v>
      </c>
      <c r="H11" s="657">
        <f t="shared" ref="H11:H25" si="1">F11-G11</f>
        <v>-491562994.1120615</v>
      </c>
      <c r="I11" s="593">
        <f t="shared" ref="I11:I25" si="2">IF(H11=0,"",H11/G11)</f>
        <v>-8.1083643021392926E-2</v>
      </c>
      <c r="J11" s="659">
        <f t="shared" si="0"/>
        <v>6062418704.8720617</v>
      </c>
    </row>
    <row r="12" spans="1:10" ht="12.75" customHeight="1" x14ac:dyDescent="0.25">
      <c r="A12" s="152" t="s">
        <v>475</v>
      </c>
      <c r="B12" s="648">
        <f>'C4-FinPerf RE'!C25</f>
        <v>1345486985</v>
      </c>
      <c r="C12" s="649">
        <f>'C4-FinPerf RE'!D25</f>
        <v>1478324301.5741799</v>
      </c>
      <c r="D12" s="408">
        <f>'C4-FinPerf RE'!E25</f>
        <v>1474657970.2495086</v>
      </c>
      <c r="E12" s="408">
        <f>'C4-FinPerf RE'!F25</f>
        <v>206346887.97000009</v>
      </c>
      <c r="F12" s="408">
        <f>'C4-FinPerf RE'!G25</f>
        <v>1430291148.0699992</v>
      </c>
      <c r="G12" s="650">
        <f>'C4-FinPerf RE'!H25</f>
        <v>1474657970.2495086</v>
      </c>
      <c r="H12" s="408">
        <f t="shared" si="1"/>
        <v>-44366822.179509401</v>
      </c>
      <c r="I12" s="207">
        <f t="shared" si="2"/>
        <v>-3.0086177998280266E-2</v>
      </c>
      <c r="J12" s="642">
        <f>'C4-FinPerf RE'!K25</f>
        <v>1474657970.2495086</v>
      </c>
    </row>
    <row r="13" spans="1:10" ht="12.75" customHeight="1" x14ac:dyDescent="0.25">
      <c r="A13" s="152" t="s">
        <v>842</v>
      </c>
      <c r="B13" s="648">
        <f>'C4-FinPerf RE'!C26</f>
        <v>43759322</v>
      </c>
      <c r="C13" s="649">
        <f>'C4-FinPerf RE'!D26</f>
        <v>53650401.115479976</v>
      </c>
      <c r="D13" s="408">
        <f>'C4-FinPerf RE'!E26</f>
        <v>53650401.439999998</v>
      </c>
      <c r="E13" s="408">
        <f>'C4-FinPerf RE'!F26</f>
        <v>4030889.5199999991</v>
      </c>
      <c r="F13" s="408">
        <f>'C4-FinPerf RE'!G26</f>
        <v>51641247.129999988</v>
      </c>
      <c r="G13" s="650">
        <f>'C4-FinPerf RE'!H26</f>
        <v>53650401.439999998</v>
      </c>
      <c r="H13" s="408">
        <f t="shared" si="1"/>
        <v>-2009154.3100000098</v>
      </c>
      <c r="I13" s="207">
        <f t="shared" si="2"/>
        <v>-3.7449007949119456E-2</v>
      </c>
      <c r="J13" s="642">
        <f>'C4-FinPerf RE'!K26</f>
        <v>53650401.439999998</v>
      </c>
    </row>
    <row r="14" spans="1:10" ht="12.75" customHeight="1" x14ac:dyDescent="0.25">
      <c r="A14" s="581" t="s">
        <v>664</v>
      </c>
      <c r="B14" s="648">
        <f>'C4-FinPerf RE'!C28</f>
        <v>417614093.69000024</v>
      </c>
      <c r="C14" s="649">
        <f>'C4-FinPerf RE'!D28</f>
        <v>489941448.27473986</v>
      </c>
      <c r="D14" s="408">
        <f>'C4-FinPerf RE'!E28</f>
        <v>482441449.27473998</v>
      </c>
      <c r="E14" s="408">
        <f>'C4-FinPerf RE'!F28</f>
        <v>35197769.920000002</v>
      </c>
      <c r="F14" s="408">
        <f>'C4-FinPerf RE'!G28</f>
        <v>423414820.87999994</v>
      </c>
      <c r="G14" s="650">
        <f>'C4-FinPerf RE'!H28</f>
        <v>482441449.27473998</v>
      </c>
      <c r="H14" s="408">
        <f t="shared" si="1"/>
        <v>-59026628.394740045</v>
      </c>
      <c r="I14" s="207">
        <f t="shared" si="2"/>
        <v>-0.12234982811587911</v>
      </c>
      <c r="J14" s="642">
        <f>'C4-FinPerf RE'!K28</f>
        <v>482441449.27473998</v>
      </c>
    </row>
    <row r="15" spans="1:10" ht="12.75" customHeight="1" x14ac:dyDescent="0.25">
      <c r="A15" s="152" t="s">
        <v>452</v>
      </c>
      <c r="B15" s="648">
        <f>'C4-FinPerf RE'!C29</f>
        <v>43716970</v>
      </c>
      <c r="C15" s="649">
        <f>'C4-FinPerf RE'!D29</f>
        <v>31793212.220000003</v>
      </c>
      <c r="D15" s="408">
        <f>'C4-FinPerf RE'!E29</f>
        <v>36505334.219999969</v>
      </c>
      <c r="E15" s="408">
        <f>'C4-FinPerf RE'!F29</f>
        <v>2639492.14</v>
      </c>
      <c r="F15" s="408">
        <f>'C4-FinPerf RE'!G29</f>
        <v>35856007.330000006</v>
      </c>
      <c r="G15" s="650">
        <f>'C4-FinPerf RE'!H29</f>
        <v>36505334.219999969</v>
      </c>
      <c r="H15" s="408">
        <f t="shared" si="1"/>
        <v>-649326.88999996334</v>
      </c>
      <c r="I15" s="207">
        <f t="shared" si="2"/>
        <v>-1.7787178336370918E-2</v>
      </c>
      <c r="J15" s="642">
        <f>'C4-FinPerf RE'!K29</f>
        <v>36505334.219999969</v>
      </c>
    </row>
    <row r="16" spans="1:10" ht="12.75" customHeight="1" x14ac:dyDescent="0.25">
      <c r="A16" s="152" t="s">
        <v>495</v>
      </c>
      <c r="B16" s="648">
        <f>SUM('C4-FinPerf RE'!C30:C31)</f>
        <v>2548288187.75</v>
      </c>
      <c r="C16" s="649">
        <f>SUM('C4-FinPerf RE'!D30:D31)</f>
        <v>2654837499.1911387</v>
      </c>
      <c r="D16" s="408">
        <f>SUM('C4-FinPerf RE'!E30:E31)</f>
        <v>2617809631.6479759</v>
      </c>
      <c r="E16" s="408">
        <f>SUM('C4-FinPerf RE'!F30:F31)</f>
        <v>331036150.93000001</v>
      </c>
      <c r="F16" s="408">
        <f>SUM('C4-FinPerf RE'!G30:G31)</f>
        <v>2738908184.3499999</v>
      </c>
      <c r="G16" s="650">
        <f>SUM('C4-FinPerf RE'!H30:H31)</f>
        <v>2617809631.6479759</v>
      </c>
      <c r="H16" s="408">
        <f t="shared" si="1"/>
        <v>121098552.70202398</v>
      </c>
      <c r="I16" s="591">
        <f t="shared" si="2"/>
        <v>4.6259495433894272E-2</v>
      </c>
      <c r="J16" s="642">
        <f>SUM('C4-FinPerf RE'!K30:K31)</f>
        <v>2617809631.6479759</v>
      </c>
    </row>
    <row r="17" spans="1:11" ht="12.75" customHeight="1" x14ac:dyDescent="0.25">
      <c r="A17" s="152" t="s">
        <v>1118</v>
      </c>
      <c r="B17" s="648">
        <f>'C4-FinPerf RE'!C33</f>
        <v>25306678</v>
      </c>
      <c r="C17" s="649">
        <f>'C4-FinPerf RE'!D33</f>
        <v>25080461.44304001</v>
      </c>
      <c r="D17" s="408">
        <f>'C4-FinPerf RE'!E33</f>
        <v>59680462</v>
      </c>
      <c r="E17" s="408">
        <f>'C4-FinPerf RE'!F33</f>
        <v>-25967455.409999996</v>
      </c>
      <c r="F17" s="408">
        <f>'C4-FinPerf RE'!G33</f>
        <v>16215843.770000003</v>
      </c>
      <c r="G17" s="650">
        <f>'C4-FinPerf RE'!H33</f>
        <v>59680462</v>
      </c>
      <c r="H17" s="408">
        <f t="shared" si="1"/>
        <v>-43464618.229999997</v>
      </c>
      <c r="I17" s="207">
        <f t="shared" si="2"/>
        <v>-0.72828890349407815</v>
      </c>
      <c r="J17" s="642">
        <f>'C4-FinPerf RE'!K33</f>
        <v>59680462</v>
      </c>
    </row>
    <row r="18" spans="1:11" ht="12.75" customHeight="1" x14ac:dyDescent="0.25">
      <c r="A18" s="152" t="s">
        <v>434</v>
      </c>
      <c r="B18" s="648">
        <f>'C4-FinPerf RE'!C36-SUM('C1-Sum'!B12:B17)</f>
        <v>1142476601.1099968</v>
      </c>
      <c r="C18" s="649">
        <f>'C4-FinPerf RE'!D36-SUM('C1-Sum'!C12:C17)</f>
        <v>782850145.72604942</v>
      </c>
      <c r="D18" s="408">
        <f>'C4-FinPerf RE'!E36-SUM('C1-Sum'!D12:D17)</f>
        <v>948405778.58908653</v>
      </c>
      <c r="E18" s="408">
        <f>'C4-FinPerf RE'!F36-SUM('C1-Sum'!E12:E17)</f>
        <v>403892561.18000007</v>
      </c>
      <c r="F18" s="408">
        <f>'C4-FinPerf RE'!G36-SUM('C1-Sum'!F12:F17)</f>
        <v>1075716179.1799994</v>
      </c>
      <c r="G18" s="650">
        <f>'C4-FinPerf RE'!H36-SUM('C1-Sum'!G12:G17)</f>
        <v>948405778.58908653</v>
      </c>
      <c r="H18" s="408">
        <f t="shared" si="1"/>
        <v>127310400.59091282</v>
      </c>
      <c r="I18" s="207">
        <f t="shared" si="2"/>
        <v>0.13423621351222523</v>
      </c>
      <c r="J18" s="642">
        <f>'C4-FinPerf RE'!K36-SUM('C1-Sum'!J12:J17)</f>
        <v>948405778.58908653</v>
      </c>
    </row>
    <row r="19" spans="1:11" ht="12.75" customHeight="1" x14ac:dyDescent="0.25">
      <c r="A19" s="583" t="s">
        <v>488</v>
      </c>
      <c r="B19" s="660">
        <f t="shared" ref="B19:G19" si="3">SUM(B12:B18)</f>
        <v>5566648837.5499973</v>
      </c>
      <c r="C19" s="661">
        <f t="shared" si="3"/>
        <v>5516477469.5446281</v>
      </c>
      <c r="D19" s="662">
        <f t="shared" si="3"/>
        <v>5673151027.4213114</v>
      </c>
      <c r="E19" s="662">
        <f t="shared" si="3"/>
        <v>957176296.25000012</v>
      </c>
      <c r="F19" s="662">
        <f t="shared" si="3"/>
        <v>5772043430.7099981</v>
      </c>
      <c r="G19" s="663">
        <f t="shared" si="3"/>
        <v>5673151027.4213114</v>
      </c>
      <c r="H19" s="662">
        <f t="shared" si="1"/>
        <v>98892403.288686752</v>
      </c>
      <c r="I19" s="382">
        <f t="shared" si="2"/>
        <v>1.7431653557377188E-2</v>
      </c>
      <c r="J19" s="664">
        <f>SUM(J12:J18)</f>
        <v>5673151027.4213114</v>
      </c>
    </row>
    <row r="20" spans="1:11" ht="12.75" customHeight="1" x14ac:dyDescent="0.25">
      <c r="A20" s="153" t="s">
        <v>489</v>
      </c>
      <c r="B20" s="665">
        <f t="shared" ref="B20:G20" si="4">B11-B19</f>
        <v>-206718416.12999725</v>
      </c>
      <c r="C20" s="666">
        <f t="shared" si="4"/>
        <v>401332788.32743359</v>
      </c>
      <c r="D20" s="637">
        <f t="shared" si="4"/>
        <v>389267677.45075035</v>
      </c>
      <c r="E20" s="637">
        <f t="shared" si="4"/>
        <v>-550734746.10000014</v>
      </c>
      <c r="F20" s="637">
        <f t="shared" si="4"/>
        <v>-201187719.9499979</v>
      </c>
      <c r="G20" s="667">
        <f t="shared" si="4"/>
        <v>389267677.45075035</v>
      </c>
      <c r="H20" s="637">
        <f t="shared" si="1"/>
        <v>-590455397.40074825</v>
      </c>
      <c r="I20" s="206">
        <f t="shared" si="2"/>
        <v>-1.5168364382769794</v>
      </c>
      <c r="J20" s="641">
        <f>J11-J19</f>
        <v>389267677.45075035</v>
      </c>
    </row>
    <row r="21" spans="1:11" s="987" customFormat="1" ht="23.45" customHeight="1" x14ac:dyDescent="0.2">
      <c r="A21" s="989" t="str">
        <f>'C4-FinPerf RE'!A39</f>
        <v>Transfers and subsidies - capital (monetary allocations) (National / Provincial and District)</v>
      </c>
      <c r="B21" s="981">
        <f>'C4-FinPerf RE'!C39</f>
        <v>430113748.5</v>
      </c>
      <c r="C21" s="982">
        <f>'C4-FinPerf RE'!D39</f>
        <v>525891580.99999982</v>
      </c>
      <c r="D21" s="983">
        <f>'C4-FinPerf RE'!E39</f>
        <v>526485334.99999982</v>
      </c>
      <c r="E21" s="983">
        <f>'C4-FinPerf RE'!F39</f>
        <v>181114382.68000001</v>
      </c>
      <c r="F21" s="983">
        <f>'C4-FinPerf RE'!G39</f>
        <v>589628625.70000005</v>
      </c>
      <c r="G21" s="984">
        <f>'C4-FinPerf RE'!H39</f>
        <v>526485334.99999976</v>
      </c>
      <c r="H21" s="983">
        <f t="shared" si="1"/>
        <v>63143290.700000286</v>
      </c>
      <c r="I21" s="985">
        <f t="shared" si="2"/>
        <v>0.11993361733428019</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223395332.37000275</v>
      </c>
      <c r="C23" s="656">
        <f t="shared" si="5"/>
        <v>927224369.32743335</v>
      </c>
      <c r="D23" s="657">
        <f t="shared" si="5"/>
        <v>915753012.45075011</v>
      </c>
      <c r="E23" s="657">
        <f t="shared" si="5"/>
        <v>-369620363.42000014</v>
      </c>
      <c r="F23" s="657">
        <f t="shared" si="5"/>
        <v>388440905.75000215</v>
      </c>
      <c r="G23" s="658">
        <f t="shared" si="5"/>
        <v>915753012.45075011</v>
      </c>
      <c r="H23" s="657">
        <f t="shared" si="1"/>
        <v>-527312106.70074797</v>
      </c>
      <c r="I23" s="592">
        <f t="shared" si="2"/>
        <v>-0.57582350211390343</v>
      </c>
      <c r="J23" s="659">
        <f>J20+J21+J22</f>
        <v>915753012.45075011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223395332.37000275</v>
      </c>
      <c r="C25" s="666">
        <f t="shared" si="6"/>
        <v>927224369.32743335</v>
      </c>
      <c r="D25" s="637">
        <f t="shared" si="6"/>
        <v>915753012.45075011</v>
      </c>
      <c r="E25" s="637">
        <f t="shared" si="6"/>
        <v>-369620363.42000014</v>
      </c>
      <c r="F25" s="637">
        <f t="shared" si="6"/>
        <v>388440905.75000215</v>
      </c>
      <c r="G25" s="667">
        <f t="shared" si="6"/>
        <v>915753012.45075011</v>
      </c>
      <c r="H25" s="637">
        <f t="shared" si="1"/>
        <v>-527312106.70074797</v>
      </c>
      <c r="I25" s="206">
        <f t="shared" si="2"/>
        <v>-0.57582350211390343</v>
      </c>
      <c r="J25" s="641">
        <f>J23+J24</f>
        <v>915753012.45075011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479855222.16999996</v>
      </c>
      <c r="C28" s="661">
        <f>'C5-Capex'!D40</f>
        <v>580891581</v>
      </c>
      <c r="D28" s="662">
        <f>'C5-Capex'!E40</f>
        <v>747190359.77999997</v>
      </c>
      <c r="E28" s="662">
        <f>'C5-Capex'!F40</f>
        <v>265811225.38999999</v>
      </c>
      <c r="F28" s="662">
        <f>'C5-Capex'!G40</f>
        <v>686254874.5200001</v>
      </c>
      <c r="G28" s="663">
        <f>'C5-Capex'!H40</f>
        <v>747190359.77999997</v>
      </c>
      <c r="H28" s="662">
        <f t="shared" ref="H28:H33" si="7">F28-G28</f>
        <v>-60935485.259999871</v>
      </c>
      <c r="I28" s="382">
        <f t="shared" ref="I28:I33" si="8">IF(H28=0,"",H28/G28)</f>
        <v>-8.1552825812610183E-2</v>
      </c>
      <c r="J28" s="664">
        <f>'C5-Capex'!K40</f>
        <v>747190359.77999997</v>
      </c>
    </row>
    <row r="29" spans="1:11" ht="12.75" customHeight="1" x14ac:dyDescent="0.25">
      <c r="A29" s="152" t="s">
        <v>499</v>
      </c>
      <c r="B29" s="648">
        <f>'C5-Capex'!C70</f>
        <v>389132125</v>
      </c>
      <c r="C29" s="649">
        <f>'C5-Capex'!D70</f>
        <v>525891580.99999988</v>
      </c>
      <c r="D29" s="408">
        <f>'C5-Capex'!E70</f>
        <v>648605943.77999997</v>
      </c>
      <c r="E29" s="408">
        <f>'C5-Capex'!F70</f>
        <v>194058028.48999998</v>
      </c>
      <c r="F29" s="408">
        <f>'C5-Capex'!G70</f>
        <v>563995119.71000004</v>
      </c>
      <c r="G29" s="650">
        <f>'C5-Capex'!H70</f>
        <v>648605943.77999997</v>
      </c>
      <c r="H29" s="408">
        <f t="shared" si="7"/>
        <v>-84610824.069999933</v>
      </c>
      <c r="I29" s="591">
        <f t="shared" si="8"/>
        <v>-0.13045027551998351</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4229818.17</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86493279</v>
      </c>
      <c r="C32" s="661">
        <f>'C5-Capex'!D73</f>
        <v>55000000</v>
      </c>
      <c r="D32" s="662">
        <f>'C5-Capex'!E73</f>
        <v>98584414</v>
      </c>
      <c r="E32" s="662">
        <f>'C5-Capex'!F73</f>
        <v>71704067.899999991</v>
      </c>
      <c r="F32" s="662">
        <f>'C5-Capex'!G73</f>
        <v>121935493.81000002</v>
      </c>
      <c r="G32" s="663">
        <f>'C5-Capex'!H73</f>
        <v>98584414</v>
      </c>
      <c r="H32" s="662">
        <f t="shared" si="7"/>
        <v>23351079.810000017</v>
      </c>
      <c r="I32" s="382">
        <f t="shared" si="8"/>
        <v>0.23686380901954762</v>
      </c>
      <c r="J32" s="664">
        <f>'C5-Capex'!K73</f>
        <v>98584414</v>
      </c>
      <c r="K32" s="156"/>
    </row>
    <row r="33" spans="1:10" ht="12.75" customHeight="1" x14ac:dyDescent="0.25">
      <c r="A33" s="583" t="s">
        <v>137</v>
      </c>
      <c r="B33" s="668">
        <f t="shared" ref="B33:G33" si="9">+B29+B31+B32</f>
        <v>479855222.17000002</v>
      </c>
      <c r="C33" s="613">
        <f t="shared" si="9"/>
        <v>580891580.99999988</v>
      </c>
      <c r="D33" s="611">
        <f t="shared" si="9"/>
        <v>747190357.77999997</v>
      </c>
      <c r="E33" s="611">
        <f t="shared" si="9"/>
        <v>265762096.38999999</v>
      </c>
      <c r="F33" s="611">
        <f t="shared" si="9"/>
        <v>685930613.5200001</v>
      </c>
      <c r="G33" s="612">
        <f t="shared" si="9"/>
        <v>747190357.77999997</v>
      </c>
      <c r="H33" s="611">
        <f t="shared" si="7"/>
        <v>-61259744.259999871</v>
      </c>
      <c r="I33" s="594">
        <f t="shared" si="8"/>
        <v>-8.1986797102160905E-2</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2861868720.5699997</v>
      </c>
      <c r="C36" s="649">
        <f>'C6-FinPos'!D13</f>
        <v>2972344764.6444831</v>
      </c>
      <c r="D36" s="408">
        <f>'C6-FinPos'!E13</f>
        <v>2694173744.3592668</v>
      </c>
      <c r="E36" s="408"/>
      <c r="F36" s="408">
        <f>'C6-FinPos'!F13</f>
        <v>2601278597.8199987</v>
      </c>
      <c r="G36" s="217"/>
      <c r="H36" s="217"/>
      <c r="I36" s="219"/>
      <c r="J36" s="642">
        <f>'C6-FinPos'!G13</f>
        <v>2694173744.3592668</v>
      </c>
    </row>
    <row r="37" spans="1:10" ht="12.75" customHeight="1" x14ac:dyDescent="0.25">
      <c r="A37" s="152" t="s">
        <v>631</v>
      </c>
      <c r="B37" s="648">
        <f>'C6-FinPos'!C25</f>
        <v>7787361578</v>
      </c>
      <c r="C37" s="649">
        <f>'C6-FinPos'!D25</f>
        <v>8340425652.5764656</v>
      </c>
      <c r="D37" s="408">
        <f>'C6-FinPos'!E25</f>
        <v>8511254429.0807037</v>
      </c>
      <c r="E37" s="408"/>
      <c r="F37" s="408">
        <f>'C6-FinPos'!F25</f>
        <v>7461453756.3700047</v>
      </c>
      <c r="G37" s="217"/>
      <c r="H37" s="217"/>
      <c r="I37" s="219"/>
      <c r="J37" s="642">
        <f>'C6-FinPos'!G25</f>
        <v>8511254429.0807037</v>
      </c>
    </row>
    <row r="38" spans="1:10" ht="12.75" customHeight="1" x14ac:dyDescent="0.25">
      <c r="A38" s="152" t="s">
        <v>459</v>
      </c>
      <c r="B38" s="648">
        <f>'C6-FinPos'!C35</f>
        <v>1893327921.9200001</v>
      </c>
      <c r="C38" s="649">
        <f>'C6-FinPos'!D35</f>
        <v>1441718351.4141357</v>
      </c>
      <c r="D38" s="408">
        <f>'C6-FinPos'!E35</f>
        <v>1345847464.413985</v>
      </c>
      <c r="E38" s="408"/>
      <c r="F38" s="408">
        <f>'C6-FinPos'!F35</f>
        <v>2004667807.3800001</v>
      </c>
      <c r="G38" s="217"/>
      <c r="H38" s="217"/>
      <c r="I38" s="219"/>
      <c r="J38" s="642">
        <f>'C6-FinPos'!G35</f>
        <v>1345847464.413985</v>
      </c>
    </row>
    <row r="39" spans="1:10" ht="12.75" customHeight="1" x14ac:dyDescent="0.25">
      <c r="A39" s="152" t="s">
        <v>458</v>
      </c>
      <c r="B39" s="648">
        <f>'C6-FinPos'!C40</f>
        <v>816497835.64999998</v>
      </c>
      <c r="C39" s="649">
        <f>'C6-FinPos'!D40</f>
        <v>1091864951.9305663</v>
      </c>
      <c r="D39" s="408">
        <f>'C6-FinPos'!E40</f>
        <v>1091864951.9305663</v>
      </c>
      <c r="E39" s="408"/>
      <c r="F39" s="408">
        <f>'C6-FinPos'!F40</f>
        <v>782720350.79999995</v>
      </c>
      <c r="G39" s="217"/>
      <c r="H39" s="217"/>
      <c r="I39" s="219"/>
      <c r="J39" s="642">
        <f>'C6-FinPos'!G40</f>
        <v>1091864951.9305663</v>
      </c>
    </row>
    <row r="40" spans="1:10" ht="12.75" customHeight="1" x14ac:dyDescent="0.25">
      <c r="A40" s="152" t="s">
        <v>136</v>
      </c>
      <c r="B40" s="665">
        <f>'C6-FinPos'!C48</f>
        <v>7939404541</v>
      </c>
      <c r="C40" s="666">
        <f>'C6-FinPos'!D48</f>
        <v>8779187113.8762474</v>
      </c>
      <c r="D40" s="637">
        <f>'C6-FinPos'!E48</f>
        <v>8767715757.0954189</v>
      </c>
      <c r="E40" s="408"/>
      <c r="F40" s="637">
        <f>'C6-FinPos'!F48</f>
        <v>7275344195.9300003</v>
      </c>
      <c r="G40" s="595"/>
      <c r="H40" s="595"/>
      <c r="I40" s="596"/>
      <c r="J40" s="641">
        <f>'C6-FinPos'!G48</f>
        <v>8767715757.0954189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676226236</v>
      </c>
      <c r="C43" s="649">
        <f>'C7-CFlow'!D18</f>
        <v>752533430.43256187</v>
      </c>
      <c r="D43" s="408">
        <f>'C7-CFlow'!E18</f>
        <v>594287085.52309227</v>
      </c>
      <c r="E43" s="408">
        <f>'C7-CFlow'!F18</f>
        <v>-112648011.29999995</v>
      </c>
      <c r="F43" s="408">
        <f>'C7-CFlow'!G18</f>
        <v>-41099687.979999781</v>
      </c>
      <c r="G43" s="650">
        <f>'C7-CFlow'!H18</f>
        <v>594287085.52309227</v>
      </c>
      <c r="H43" s="408">
        <f>G43-F43</f>
        <v>635386773.50309205</v>
      </c>
      <c r="I43" s="207">
        <f>IF(H43=0,"",H43/G43)</f>
        <v>1.0691579692394355</v>
      </c>
      <c r="J43" s="642">
        <f>'C7-CFlow'!K18</f>
        <v>594287085.52309227</v>
      </c>
    </row>
    <row r="44" spans="1:10" ht="12.75" customHeight="1" x14ac:dyDescent="0.25">
      <c r="A44" s="152" t="s">
        <v>649</v>
      </c>
      <c r="B44" s="648">
        <f>'C7-CFlow'!C28</f>
        <v>-381844005</v>
      </c>
      <c r="C44" s="649">
        <f>'C7-CFlow'!D28</f>
        <v>-580891580.99999988</v>
      </c>
      <c r="D44" s="408">
        <f>'C7-CFlow'!E28</f>
        <v>-747190357.77999985</v>
      </c>
      <c r="E44" s="408">
        <f>'C7-CFlow'!F28</f>
        <v>-51644077.259999998</v>
      </c>
      <c r="F44" s="408">
        <f>'C7-CFlow'!G28</f>
        <v>-33170418.490000002</v>
      </c>
      <c r="G44" s="650">
        <f>'C7-CFlow'!H28</f>
        <v>-747190357.77999985</v>
      </c>
      <c r="H44" s="408">
        <f>G44-F44</f>
        <v>-714019939.28999984</v>
      </c>
      <c r="I44" s="207">
        <f>IF(H44=0,"",H44/G44)</f>
        <v>0.95560646876044597</v>
      </c>
      <c r="J44" s="642">
        <f>'C7-CFlow'!K28</f>
        <v>-747190357.77999985</v>
      </c>
    </row>
    <row r="45" spans="1:10" ht="12.75" customHeight="1" x14ac:dyDescent="0.25">
      <c r="A45" s="152" t="s">
        <v>647</v>
      </c>
      <c r="B45" s="648">
        <f>'C7-CFlow'!C37</f>
        <v>-83600511</v>
      </c>
      <c r="C45" s="649">
        <f>'C7-CFlow'!D37</f>
        <v>-79206000</v>
      </c>
      <c r="D45" s="408">
        <f>'C7-CFlow'!E37</f>
        <v>-79206000</v>
      </c>
      <c r="E45" s="408">
        <f>'C7-CFlow'!F37</f>
        <v>-19566786.379999999</v>
      </c>
      <c r="F45" s="408">
        <f>'C7-CFlow'!G37</f>
        <v>-20256190.370000001</v>
      </c>
      <c r="G45" s="650">
        <f>'C7-CFlow'!H37</f>
        <v>-79206000</v>
      </c>
      <c r="H45" s="408">
        <f>G45-F45</f>
        <v>-58949809.629999995</v>
      </c>
      <c r="I45" s="207">
        <f>IF(H45=0,"",H45/G45)</f>
        <v>0.74425939486907555</v>
      </c>
      <c r="J45" s="642">
        <f>'C7-CFlow'!K37</f>
        <v>-79206000</v>
      </c>
    </row>
    <row r="46" spans="1:10" ht="12.75" customHeight="1" x14ac:dyDescent="0.25">
      <c r="A46" s="153" t="s">
        <v>54</v>
      </c>
      <c r="B46" s="665">
        <f>'C7-CFlow'!C41</f>
        <v>518976965</v>
      </c>
      <c r="C46" s="666">
        <f>'C7-CFlow'!D41</f>
        <v>382435849.43256199</v>
      </c>
      <c r="D46" s="637">
        <f>'C7-CFlow'!E41</f>
        <v>286867694.74309242</v>
      </c>
      <c r="E46" s="637">
        <f>'C7-CFlow'!F41</f>
        <v>0</v>
      </c>
      <c r="F46" s="637">
        <f>'C7-CFlow'!G41</f>
        <v>375521952.16000021</v>
      </c>
      <c r="G46" s="667">
        <f>'C7-CFlow'!H41</f>
        <v>286867694.74309242</v>
      </c>
      <c r="H46" s="637">
        <f>G46-F46</f>
        <v>-88654257.416907787</v>
      </c>
      <c r="I46" s="206">
        <f>IF(H46=0,"",H46/G46)</f>
        <v>-0.30904231825860734</v>
      </c>
      <c r="J46" s="641">
        <f>'C7-CFlow'!K41</f>
        <v>237938976.74309242</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495946622.13999999</v>
      </c>
      <c r="C50" s="649">
        <f>'SC3'!D14</f>
        <v>138844660.98000002</v>
      </c>
      <c r="D50" s="408">
        <f>'SC3'!E14</f>
        <v>102730469.05999999</v>
      </c>
      <c r="E50" s="408">
        <f>'SC3'!F14</f>
        <v>93457799.460000008</v>
      </c>
      <c r="F50" s="408">
        <f>'SC3'!G14</f>
        <v>96779128.520000011</v>
      </c>
      <c r="G50" s="650">
        <f>'SC3'!H14</f>
        <v>89322560.310000002</v>
      </c>
      <c r="H50" s="408">
        <f>'SC3'!I14</f>
        <v>536820878.9000001</v>
      </c>
      <c r="I50" s="650">
        <f>'SC3'!J14</f>
        <v>3223225385.1199999</v>
      </c>
      <c r="J50" s="642">
        <f>'SC3'!K14</f>
        <v>4777127504.4899998</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1468445593.21</v>
      </c>
      <c r="C52" s="649">
        <f>'SC4'!D15</f>
        <v>119302293.15000001</v>
      </c>
      <c r="D52" s="408">
        <f>'SC4'!E15</f>
        <v>68763636.109999999</v>
      </c>
      <c r="E52" s="408">
        <f>'SC4'!F15</f>
        <v>22134.13</v>
      </c>
      <c r="F52" s="408">
        <f>'SC4'!G15</f>
        <v>-29742.03</v>
      </c>
      <c r="G52" s="650">
        <f>'SC4'!H15</f>
        <v>0</v>
      </c>
      <c r="H52" s="408">
        <f>'SC4'!I15</f>
        <v>0</v>
      </c>
      <c r="I52" s="650">
        <f>'SC4'!J15</f>
        <v>0</v>
      </c>
      <c r="J52" s="642">
        <f>'SC4'!K15</f>
        <v>1656503914.5699999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7"/>
      <c r="B55" s="1037"/>
      <c r="C55" s="1037"/>
      <c r="D55" s="1037"/>
      <c r="E55" s="1037"/>
      <c r="F55" s="1037"/>
      <c r="G55" s="1037"/>
      <c r="H55" s="1037"/>
      <c r="I55" s="1037"/>
      <c r="J55" s="103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7" t="str">
        <f>muni&amp; " - "&amp;S71A&amp; " - "&amp;date</f>
        <v>KZN225 Msunduzi - Table C2 Consolidated Monthly Budget Statement - Financial Performance (functional classification)  - Q4 Fourth Quarter</v>
      </c>
      <c r="B1" s="1047"/>
      <c r="C1" s="1047"/>
      <c r="D1" s="1047"/>
      <c r="E1" s="1047"/>
      <c r="F1" s="1047"/>
      <c r="G1" s="1047"/>
      <c r="H1" s="1047"/>
      <c r="I1" s="1047"/>
      <c r="J1" s="1047"/>
      <c r="K1" s="1047"/>
    </row>
    <row r="2" spans="1:18" x14ac:dyDescent="0.25">
      <c r="A2" s="1045" t="str">
        <f>desc</f>
        <v>Description</v>
      </c>
      <c r="B2" s="1043" t="str">
        <f>head27</f>
        <v>Ref</v>
      </c>
      <c r="C2" s="24" t="str">
        <f>Head1</f>
        <v>2019/20</v>
      </c>
      <c r="D2" s="231" t="str">
        <f>Head2</f>
        <v>Budget Year 2020/21</v>
      </c>
      <c r="E2" s="229"/>
      <c r="F2" s="229"/>
      <c r="G2" s="229"/>
      <c r="H2" s="229"/>
      <c r="I2" s="229"/>
      <c r="J2" s="229"/>
      <c r="K2" s="230"/>
    </row>
    <row r="3" spans="1:18"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1658394619.1699998</v>
      </c>
      <c r="D6" s="669">
        <f t="shared" si="0"/>
        <v>1572338502.3175159</v>
      </c>
      <c r="E6" s="637">
        <f t="shared" si="0"/>
        <v>1661336502.3175159</v>
      </c>
      <c r="F6" s="637">
        <f t="shared" si="0"/>
        <v>118149631.60999998</v>
      </c>
      <c r="G6" s="637">
        <f t="shared" si="0"/>
        <v>1690126933.4100001</v>
      </c>
      <c r="H6" s="637">
        <f t="shared" si="0"/>
        <v>1661336502.3175161</v>
      </c>
      <c r="I6" s="47">
        <f t="shared" ref="I6:I13" si="1">G6-H6</f>
        <v>28790431.092483997</v>
      </c>
      <c r="J6" s="200">
        <f>IF(I6=0,"",I6/H6)</f>
        <v>1.7329680683186209E-2</v>
      </c>
      <c r="K6" s="641">
        <f>SUM(K7:K9)</f>
        <v>1661336502.3175159</v>
      </c>
      <c r="L6" s="100"/>
      <c r="Q6" s="69"/>
      <c r="R6" s="70"/>
    </row>
    <row r="7" spans="1:18" ht="12.75" customHeight="1" x14ac:dyDescent="0.25">
      <c r="A7" s="416" t="s">
        <v>108</v>
      </c>
      <c r="B7" s="415"/>
      <c r="C7" s="642">
        <f>'C2C'!C7</f>
        <v>4200350.03</v>
      </c>
      <c r="D7" s="670">
        <f>'C2C'!D7</f>
        <v>4447530.0133999996</v>
      </c>
      <c r="E7" s="408">
        <f>'C2C'!E7</f>
        <v>4447530.0133999996</v>
      </c>
      <c r="F7" s="408">
        <f>'C2C'!F7</f>
        <v>145353.01999999999</v>
      </c>
      <c r="G7" s="408">
        <f>'C2C'!G7</f>
        <v>3915986.26</v>
      </c>
      <c r="H7" s="408">
        <f>'C2C'!H7</f>
        <v>4447530.0133999996</v>
      </c>
      <c r="I7" s="47">
        <f t="shared" si="1"/>
        <v>-531543.75339999981</v>
      </c>
      <c r="J7" s="200">
        <f t="shared" ref="J7:J26" si="2">IF(I7=0,"",I7/H7)</f>
        <v>-0.11951437130238746</v>
      </c>
      <c r="K7" s="642">
        <f>'C2C'!K7</f>
        <v>4447530.0133999996</v>
      </c>
      <c r="L7" s="100"/>
      <c r="Q7" s="69"/>
      <c r="R7" s="70"/>
    </row>
    <row r="8" spans="1:18" ht="12.75" customHeight="1" x14ac:dyDescent="0.25">
      <c r="A8" s="416" t="s">
        <v>1123</v>
      </c>
      <c r="B8" s="415"/>
      <c r="C8" s="643">
        <f>'C2C'!C10</f>
        <v>1654194234.2399998</v>
      </c>
      <c r="D8" s="671">
        <f>'C2C'!D10</f>
        <v>1567890972.3041158</v>
      </c>
      <c r="E8" s="672">
        <f>'C2C'!E10</f>
        <v>1656888972.3041158</v>
      </c>
      <c r="F8" s="672">
        <f>'C2C'!F10</f>
        <v>118004278.58999999</v>
      </c>
      <c r="G8" s="672">
        <f>'C2C'!G10</f>
        <v>1686210947.1500001</v>
      </c>
      <c r="H8" s="672">
        <f>'C2C'!H10</f>
        <v>1656888972.304116</v>
      </c>
      <c r="I8" s="47">
        <f t="shared" si="1"/>
        <v>29321974.845884085</v>
      </c>
      <c r="J8" s="200">
        <f t="shared" si="2"/>
        <v>1.7697006459707513E-2</v>
      </c>
      <c r="K8" s="673">
        <f>'C2C'!K10</f>
        <v>1656888972.3041158</v>
      </c>
      <c r="L8" s="100"/>
      <c r="Q8" s="69"/>
      <c r="R8" s="70"/>
    </row>
    <row r="9" spans="1:18" ht="12.75" customHeight="1" x14ac:dyDescent="0.25">
      <c r="A9" s="416" t="s">
        <v>1134</v>
      </c>
      <c r="B9" s="415"/>
      <c r="C9" s="642">
        <f>'C2C'!C24</f>
        <v>34.9</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155266538.72</v>
      </c>
      <c r="D10" s="669">
        <f t="shared" si="3"/>
        <v>369251054.47721577</v>
      </c>
      <c r="E10" s="637">
        <f t="shared" si="3"/>
        <v>421154744.47721577</v>
      </c>
      <c r="F10" s="637">
        <f t="shared" si="3"/>
        <v>18685158.34</v>
      </c>
      <c r="G10" s="637">
        <f t="shared" si="3"/>
        <v>148310067.69999999</v>
      </c>
      <c r="H10" s="637">
        <f t="shared" si="3"/>
        <v>421154744.47721577</v>
      </c>
      <c r="I10" s="47">
        <f t="shared" si="1"/>
        <v>-272844676.77721578</v>
      </c>
      <c r="J10" s="200">
        <f t="shared" si="2"/>
        <v>-0.64784899221757797</v>
      </c>
      <c r="K10" s="641">
        <f>SUM(K11:K15)</f>
        <v>421154744.47721577</v>
      </c>
      <c r="L10" s="100"/>
      <c r="Q10" s="69"/>
      <c r="R10" s="70"/>
    </row>
    <row r="11" spans="1:18" ht="12.75" customHeight="1" x14ac:dyDescent="0.25">
      <c r="A11" s="416" t="s">
        <v>110</v>
      </c>
      <c r="B11" s="415"/>
      <c r="C11" s="642">
        <f>'C2C'!C27</f>
        <v>38829586.050000004</v>
      </c>
      <c r="D11" s="670">
        <f>'C2C'!D27</f>
        <v>26242986.682700001</v>
      </c>
      <c r="E11" s="408">
        <f>'C2C'!E27</f>
        <v>26648021.682700001</v>
      </c>
      <c r="F11" s="408">
        <f>'C2C'!F27</f>
        <v>814921.81</v>
      </c>
      <c r="G11" s="408">
        <f>'C2C'!G27</f>
        <v>20936498.309999999</v>
      </c>
      <c r="H11" s="408">
        <f>'C2C'!H27</f>
        <v>26648021.682700001</v>
      </c>
      <c r="I11" s="47">
        <f t="shared" si="1"/>
        <v>-5711523.372700002</v>
      </c>
      <c r="J11" s="200">
        <f t="shared" si="2"/>
        <v>-0.21433198459185979</v>
      </c>
      <c r="K11" s="642">
        <f>'C2C'!K27</f>
        <v>26648021.682700001</v>
      </c>
      <c r="L11" s="100"/>
      <c r="Q11" s="69"/>
      <c r="R11" s="70"/>
    </row>
    <row r="12" spans="1:18" ht="12.75" customHeight="1" x14ac:dyDescent="0.25">
      <c r="A12" s="416" t="s">
        <v>111</v>
      </c>
      <c r="B12" s="415"/>
      <c r="C12" s="642">
        <f>'C2C'!C49</f>
        <v>693112.67</v>
      </c>
      <c r="D12" s="670">
        <f>'C2C'!D49</f>
        <v>11002054.78726843</v>
      </c>
      <c r="E12" s="408">
        <f>'C2C'!E49</f>
        <v>11002054.78726843</v>
      </c>
      <c r="F12" s="408">
        <f>'C2C'!F49</f>
        <v>15483.11</v>
      </c>
      <c r="G12" s="408">
        <f>'C2C'!G49</f>
        <v>375847.94</v>
      </c>
      <c r="H12" s="408">
        <f>'C2C'!H49</f>
        <v>11002054.78726843</v>
      </c>
      <c r="I12" s="47">
        <f t="shared" si="1"/>
        <v>-10626206.847268431</v>
      </c>
      <c r="J12" s="200">
        <f t="shared" si="2"/>
        <v>-0.9658383868043513</v>
      </c>
      <c r="K12" s="642">
        <f>'C2C'!K49</f>
        <v>11002054.78726843</v>
      </c>
      <c r="L12" s="100"/>
      <c r="Q12" s="69"/>
      <c r="R12" s="70"/>
    </row>
    <row r="13" spans="1:18" ht="12.75" customHeight="1" x14ac:dyDescent="0.25">
      <c r="A13" s="416" t="s">
        <v>112</v>
      </c>
      <c r="B13" s="415"/>
      <c r="C13" s="642">
        <f>'C2C'!C55</f>
        <v>15024987.17</v>
      </c>
      <c r="D13" s="670">
        <f>'C2C'!D55</f>
        <v>3768735.4638999999</v>
      </c>
      <c r="E13" s="408">
        <f>'C2C'!E55</f>
        <v>3768735.4638999999</v>
      </c>
      <c r="F13" s="408">
        <f>'C2C'!F55</f>
        <v>774337.23</v>
      </c>
      <c r="G13" s="408">
        <f>'C2C'!G55</f>
        <v>29658465.75</v>
      </c>
      <c r="H13" s="408">
        <f>'C2C'!H55</f>
        <v>3768735.4638999999</v>
      </c>
      <c r="I13" s="47">
        <f t="shared" si="1"/>
        <v>25889730.2861</v>
      </c>
      <c r="J13" s="200">
        <f t="shared" si="2"/>
        <v>6.8696066715461468</v>
      </c>
      <c r="K13" s="642">
        <f>'C2C'!K55</f>
        <v>3768735.4638999999</v>
      </c>
      <c r="L13" s="100"/>
      <c r="Q13" s="69"/>
      <c r="R13" s="70"/>
    </row>
    <row r="14" spans="1:18" ht="12.75" customHeight="1" x14ac:dyDescent="0.25">
      <c r="A14" s="416" t="s">
        <v>711</v>
      </c>
      <c r="B14" s="415"/>
      <c r="C14" s="642">
        <f>'C2C'!C64</f>
        <v>100718852.83</v>
      </c>
      <c r="D14" s="670">
        <f>'C2C'!D64</f>
        <v>328237277.54334736</v>
      </c>
      <c r="E14" s="408">
        <f>'C2C'!E64</f>
        <v>379735932.54334736</v>
      </c>
      <c r="F14" s="408">
        <f>'C2C'!F64</f>
        <v>17080416.190000001</v>
      </c>
      <c r="G14" s="408">
        <f>'C2C'!G64</f>
        <v>97339255.700000003</v>
      </c>
      <c r="H14" s="408">
        <f>'C2C'!H64</f>
        <v>379735932.54334736</v>
      </c>
      <c r="I14" s="47">
        <f t="shared" ref="I14:I19" si="4">G14-H14</f>
        <v>-282396676.84334737</v>
      </c>
      <c r="J14" s="200">
        <f t="shared" ref="J14:J19" si="5">IF(I14=0,"",I14/H14)</f>
        <v>-0.74366593372385537</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273241464.56</v>
      </c>
      <c r="D16" s="669">
        <f t="shared" si="6"/>
        <v>106923434.37381519</v>
      </c>
      <c r="E16" s="637">
        <f t="shared" si="6"/>
        <v>109927537.37381519</v>
      </c>
      <c r="F16" s="637">
        <f t="shared" si="6"/>
        <v>143233326.62</v>
      </c>
      <c r="G16" s="637">
        <f t="shared" si="6"/>
        <v>357713398.88</v>
      </c>
      <c r="H16" s="637">
        <f t="shared" si="6"/>
        <v>109927537.37381519</v>
      </c>
      <c r="I16" s="47">
        <f t="shared" si="4"/>
        <v>247785861.50618482</v>
      </c>
      <c r="J16" s="200">
        <f t="shared" si="5"/>
        <v>2.2540836211364774</v>
      </c>
      <c r="K16" s="641">
        <f>SUM(K17:K19)</f>
        <v>109927537.37381519</v>
      </c>
      <c r="L16" s="100"/>
      <c r="Q16" s="69"/>
      <c r="R16" s="70"/>
    </row>
    <row r="17" spans="1:18" ht="12.75" customHeight="1" x14ac:dyDescent="0.25">
      <c r="A17" s="416" t="s">
        <v>114</v>
      </c>
      <c r="B17" s="415"/>
      <c r="C17" s="642">
        <f>'C2C'!C76</f>
        <v>33595749.049999997</v>
      </c>
      <c r="D17" s="670">
        <f>'C2C'!D76</f>
        <v>41022287.158399999</v>
      </c>
      <c r="E17" s="408">
        <f>'C2C'!E76</f>
        <v>44026390.158399999</v>
      </c>
      <c r="F17" s="408">
        <f>'C2C'!F76</f>
        <v>112207541</v>
      </c>
      <c r="G17" s="408">
        <f>'C2C'!G76</f>
        <v>122765713.86</v>
      </c>
      <c r="H17" s="408">
        <f>'C2C'!H76</f>
        <v>44026390.158399999</v>
      </c>
      <c r="I17" s="47">
        <f t="shared" si="4"/>
        <v>78739323.7016</v>
      </c>
      <c r="J17" s="200">
        <f t="shared" si="5"/>
        <v>1.7884574097105927</v>
      </c>
      <c r="K17" s="642">
        <f>'C2C'!K76</f>
        <v>44026390.158399999</v>
      </c>
      <c r="L17" s="100"/>
      <c r="Q17" s="69"/>
      <c r="R17" s="70"/>
    </row>
    <row r="18" spans="1:18" ht="12.75" customHeight="1" x14ac:dyDescent="0.25">
      <c r="A18" s="416" t="s">
        <v>115</v>
      </c>
      <c r="B18" s="415"/>
      <c r="C18" s="642">
        <f>'C2C'!C87</f>
        <v>239601710.63</v>
      </c>
      <c r="D18" s="670">
        <f>'C2C'!D87</f>
        <v>65792799.755315199</v>
      </c>
      <c r="E18" s="408">
        <f>'C2C'!E87</f>
        <v>65792799.755315199</v>
      </c>
      <c r="F18" s="408">
        <f>'C2C'!F87</f>
        <v>31012535.620000001</v>
      </c>
      <c r="G18" s="408">
        <f>'C2C'!G87</f>
        <v>234865635.01999998</v>
      </c>
      <c r="H18" s="408">
        <f>'C2C'!H87</f>
        <v>65792799.755315199</v>
      </c>
      <c r="I18" s="47">
        <f t="shared" si="4"/>
        <v>169072835.2646848</v>
      </c>
      <c r="J18" s="200">
        <f t="shared" si="5"/>
        <v>2.5697771776466456</v>
      </c>
      <c r="K18" s="642">
        <f>'C2C'!K87</f>
        <v>65792799.755315199</v>
      </c>
      <c r="L18" s="100"/>
      <c r="Q18" s="69"/>
      <c r="R18" s="70"/>
    </row>
    <row r="19" spans="1:18" ht="12.75" customHeight="1" x14ac:dyDescent="0.25">
      <c r="A19" s="416" t="s">
        <v>116</v>
      </c>
      <c r="B19" s="415"/>
      <c r="C19" s="642">
        <f>'C2C'!C92</f>
        <v>44004.88</v>
      </c>
      <c r="D19" s="670">
        <f>'C2C'!D92</f>
        <v>108347.4601</v>
      </c>
      <c r="E19" s="408">
        <f>'C2C'!E92</f>
        <v>108347.4601</v>
      </c>
      <c r="F19" s="408">
        <f>'C2C'!F92</f>
        <v>13250</v>
      </c>
      <c r="G19" s="408">
        <f>'C2C'!G92</f>
        <v>82050</v>
      </c>
      <c r="H19" s="408">
        <f>'C2C'!H92</f>
        <v>108347.4601</v>
      </c>
      <c r="I19" s="47">
        <f t="shared" si="4"/>
        <v>-26297.460099999997</v>
      </c>
      <c r="J19" s="200">
        <f t="shared" si="5"/>
        <v>-0.24271413539116268</v>
      </c>
      <c r="K19" s="642">
        <f>'C2C'!K92</f>
        <v>108347.4601</v>
      </c>
      <c r="L19" s="100"/>
      <c r="Q19" s="69"/>
      <c r="R19" s="70"/>
    </row>
    <row r="20" spans="1:18" ht="12.75" customHeight="1" x14ac:dyDescent="0.25">
      <c r="A20" s="414" t="s">
        <v>117</v>
      </c>
      <c r="B20" s="417"/>
      <c r="C20" s="641">
        <f>SUM(C21:C24)</f>
        <v>3670460355.04</v>
      </c>
      <c r="D20" s="669">
        <f t="shared" ref="D20:I20" si="7">SUM(D21:D24)</f>
        <v>4331953791.0175152</v>
      </c>
      <c r="E20" s="637">
        <f t="shared" si="7"/>
        <v>4331577947.017518</v>
      </c>
      <c r="F20" s="637">
        <f t="shared" si="7"/>
        <v>306470460.82999998</v>
      </c>
      <c r="G20" s="637">
        <f t="shared" si="7"/>
        <v>3950080619.5799999</v>
      </c>
      <c r="H20" s="637">
        <f t="shared" si="7"/>
        <v>4331577947.017518</v>
      </c>
      <c r="I20" s="47">
        <f t="shared" si="7"/>
        <v>-381497327.43751824</v>
      </c>
      <c r="J20" s="200">
        <f t="shared" si="2"/>
        <v>-8.8073522421591402E-2</v>
      </c>
      <c r="K20" s="641">
        <f>SUM(K21:K24)</f>
        <v>4331577947.017518</v>
      </c>
      <c r="L20" s="100"/>
      <c r="Q20" s="69"/>
      <c r="R20" s="70"/>
    </row>
    <row r="21" spans="1:18" ht="12.75" customHeight="1" x14ac:dyDescent="0.25">
      <c r="A21" s="416" t="s">
        <v>1191</v>
      </c>
      <c r="B21" s="415"/>
      <c r="C21" s="642">
        <f>'C2C'!C100</f>
        <v>2209984732.46</v>
      </c>
      <c r="D21" s="670">
        <f>'C2C'!D100</f>
        <v>2655002808.9206858</v>
      </c>
      <c r="E21" s="408">
        <f>'C2C'!E100</f>
        <v>2655002808.9206858</v>
      </c>
      <c r="F21" s="408">
        <f>'C2C'!F100</f>
        <v>186234967.34999999</v>
      </c>
      <c r="G21" s="408">
        <f>'C2C'!G100</f>
        <v>2334537372.1300001</v>
      </c>
      <c r="H21" s="408">
        <f>'C2C'!H100</f>
        <v>2655002808.9206858</v>
      </c>
      <c r="I21" s="47">
        <f>G21-H21</f>
        <v>-320465436.79068565</v>
      </c>
      <c r="J21" s="200">
        <f t="shared" si="2"/>
        <v>-0.1207024850271106</v>
      </c>
      <c r="K21" s="642">
        <f>'C2C'!K100</f>
        <v>2655002808.9206858</v>
      </c>
      <c r="L21" s="100"/>
      <c r="Q21" s="69"/>
      <c r="R21" s="70"/>
    </row>
    <row r="22" spans="1:18" ht="12.75" customHeight="1" x14ac:dyDescent="0.25">
      <c r="A22" s="416" t="s">
        <v>1195</v>
      </c>
      <c r="B22" s="415"/>
      <c r="C22" s="642">
        <f>'C2C'!C104</f>
        <v>1060295199.26</v>
      </c>
      <c r="D22" s="670">
        <f>'C2C'!D104</f>
        <v>1253549994.0011687</v>
      </c>
      <c r="E22" s="408">
        <f>'C2C'!E104</f>
        <v>1253174150.0011718</v>
      </c>
      <c r="F22" s="408">
        <f>'C2C'!F104</f>
        <v>90524059.090000004</v>
      </c>
      <c r="G22" s="408">
        <f>'C2C'!G104</f>
        <v>1172058172.0599999</v>
      </c>
      <c r="H22" s="408">
        <f>'C2C'!H104</f>
        <v>1253174150.0011718</v>
      </c>
      <c r="I22" s="47">
        <f>G22-H22</f>
        <v>-81115977.941171885</v>
      </c>
      <c r="J22" s="200">
        <f t="shared" si="2"/>
        <v>-6.4728416191074514E-2</v>
      </c>
      <c r="K22" s="642">
        <f>'C2C'!K104</f>
        <v>1253174150.0011718</v>
      </c>
      <c r="L22" s="100"/>
      <c r="Q22" s="69"/>
      <c r="R22" s="70"/>
    </row>
    <row r="23" spans="1:18" ht="12.75" customHeight="1" x14ac:dyDescent="0.25">
      <c r="A23" s="416" t="s">
        <v>118</v>
      </c>
      <c r="B23" s="415"/>
      <c r="C23" s="643">
        <f>'C2C'!C108</f>
        <v>254352471.68000001</v>
      </c>
      <c r="D23" s="671">
        <f>'C2C'!D108</f>
        <v>173542219.90182328</v>
      </c>
      <c r="E23" s="672">
        <f>'C2C'!E108</f>
        <v>173542219.90182328</v>
      </c>
      <c r="F23" s="672">
        <f>'C2C'!F108</f>
        <v>21419040.140000001</v>
      </c>
      <c r="G23" s="672">
        <f>'C2C'!G108</f>
        <v>290245971.06</v>
      </c>
      <c r="H23" s="672">
        <f>'C2C'!H108</f>
        <v>173542219.90182328</v>
      </c>
      <c r="I23" s="47">
        <f>G23-H23</f>
        <v>116703751.15817672</v>
      </c>
      <c r="J23" s="200">
        <f t="shared" si="2"/>
        <v>0.67248045590403671</v>
      </c>
      <c r="K23" s="673">
        <f>'C2C'!K108</f>
        <v>173542219.90182328</v>
      </c>
      <c r="L23" s="100"/>
      <c r="Q23" s="69"/>
      <c r="R23" s="70"/>
    </row>
    <row r="24" spans="1:18" ht="12.75" customHeight="1" x14ac:dyDescent="0.25">
      <c r="A24" s="416" t="s">
        <v>119</v>
      </c>
      <c r="B24" s="415"/>
      <c r="C24" s="642">
        <f>'C2C'!C113</f>
        <v>145827951.64000002</v>
      </c>
      <c r="D24" s="670">
        <f>'C2C'!D113</f>
        <v>249858768.1938374</v>
      </c>
      <c r="E24" s="408">
        <f>'C2C'!E113</f>
        <v>249858768.1938374</v>
      </c>
      <c r="F24" s="408">
        <f>'C2C'!F113</f>
        <v>8292394.25</v>
      </c>
      <c r="G24" s="408">
        <f>'C2C'!G113</f>
        <v>153239104.32999998</v>
      </c>
      <c r="H24" s="408">
        <f>'C2C'!H113</f>
        <v>249858768.1938374</v>
      </c>
      <c r="I24" s="47">
        <f>G24-H24</f>
        <v>-96619663.863837421</v>
      </c>
      <c r="J24" s="200">
        <f t="shared" si="2"/>
        <v>-0.38669711118114958</v>
      </c>
      <c r="K24" s="642">
        <f>'C2C'!K113</f>
        <v>249858768.1938374</v>
      </c>
      <c r="L24" s="100"/>
      <c r="Q24" s="69"/>
      <c r="R24" s="70"/>
    </row>
    <row r="25" spans="1:18" ht="12.75" customHeight="1" x14ac:dyDescent="0.25">
      <c r="A25" s="414" t="s">
        <v>718</v>
      </c>
      <c r="B25" s="417">
        <v>4</v>
      </c>
      <c r="C25" s="641">
        <f>'C2C'!C118</f>
        <v>32681201.210000001</v>
      </c>
      <c r="D25" s="669">
        <f>'C2C'!D118</f>
        <v>63610900.686000004</v>
      </c>
      <c r="E25" s="637">
        <f>'C2C'!E118</f>
        <v>63610900.686000004</v>
      </c>
      <c r="F25" s="637">
        <f>'C2C'!F118</f>
        <v>1017355.4299999999</v>
      </c>
      <c r="G25" s="637">
        <f>'C2C'!G118</f>
        <v>14253316.890000001</v>
      </c>
      <c r="H25" s="637">
        <f>'C2C'!H118</f>
        <v>63610900.686000004</v>
      </c>
      <c r="I25" s="102">
        <f>G25-H25</f>
        <v>-49357583.796000004</v>
      </c>
      <c r="J25" s="713">
        <f t="shared" si="2"/>
        <v>-0.77592964827902544</v>
      </c>
      <c r="K25" s="641">
        <f>'C2C'!K118</f>
        <v>63610900.686000004</v>
      </c>
      <c r="L25" s="100"/>
      <c r="Q25" s="69"/>
      <c r="R25" s="70"/>
    </row>
    <row r="26" spans="1:18" ht="12.75" customHeight="1" x14ac:dyDescent="0.25">
      <c r="A26" s="92" t="s">
        <v>1208</v>
      </c>
      <c r="B26" s="585">
        <v>2</v>
      </c>
      <c r="C26" s="644">
        <f>C6+C10+C16+C20+C25</f>
        <v>5790044178.6999998</v>
      </c>
      <c r="D26" s="598">
        <f t="shared" ref="D26:I26" si="8">D6+D10+D16+D20+D25</f>
        <v>6444077682.8720617</v>
      </c>
      <c r="E26" s="545">
        <f t="shared" si="8"/>
        <v>6587607631.8720646</v>
      </c>
      <c r="F26" s="545">
        <f t="shared" si="8"/>
        <v>587555932.82999992</v>
      </c>
      <c r="G26" s="545">
        <f t="shared" si="8"/>
        <v>6160484336.46</v>
      </c>
      <c r="H26" s="545">
        <f t="shared" si="8"/>
        <v>6587607631.8720655</v>
      </c>
      <c r="I26" s="545">
        <f t="shared" si="8"/>
        <v>-427123295.41206521</v>
      </c>
      <c r="J26" s="599">
        <f t="shared" si="2"/>
        <v>-6.4837391551003071E-2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1041450363.4499996</v>
      </c>
      <c r="D29" s="669">
        <f t="shared" si="9"/>
        <v>1354264744.2416518</v>
      </c>
      <c r="E29" s="637">
        <f t="shared" si="9"/>
        <v>1405319174.0330372</v>
      </c>
      <c r="F29" s="637">
        <f t="shared" si="9"/>
        <v>455985086.49999958</v>
      </c>
      <c r="G29" s="637">
        <f t="shared" si="9"/>
        <v>1372514553.0499997</v>
      </c>
      <c r="H29" s="637">
        <f t="shared" si="9"/>
        <v>1405319174.0330372</v>
      </c>
      <c r="I29" s="47">
        <f t="shared" ref="I29:I48" si="10">G29-H29</f>
        <v>-32804620.983037472</v>
      </c>
      <c r="J29" s="200">
        <f>IF(I29=0,"",I29/H29)</f>
        <v>-2.3343181811782694E-2</v>
      </c>
      <c r="K29" s="641">
        <f>SUM(K30:K32)</f>
        <v>1405319174.0330372</v>
      </c>
      <c r="L29" s="100"/>
      <c r="Q29" s="69"/>
    </row>
    <row r="30" spans="1:18" ht="12.75" customHeight="1" x14ac:dyDescent="0.25">
      <c r="A30" s="416" t="s">
        <v>108</v>
      </c>
      <c r="B30" s="428"/>
      <c r="C30" s="642">
        <f>'C2C'!C129</f>
        <v>123578808.51000004</v>
      </c>
      <c r="D30" s="670">
        <f>'C2C'!D129</f>
        <v>137732466.40184778</v>
      </c>
      <c r="E30" s="408">
        <f>'C2C'!E129</f>
        <v>138609982.7278536</v>
      </c>
      <c r="F30" s="408">
        <f>'C2C'!F129</f>
        <v>22794400.339999996</v>
      </c>
      <c r="G30" s="408">
        <f>'C2C'!G129</f>
        <v>117253265.37999997</v>
      </c>
      <c r="H30" s="408">
        <f>'C2C'!H129</f>
        <v>138609982.7278536</v>
      </c>
      <c r="I30" s="47">
        <f t="shared" si="10"/>
        <v>-21356717.347853631</v>
      </c>
      <c r="J30" s="200">
        <f t="shared" ref="J30:J49" si="11">IF(I30=0,"",I30/H30)</f>
        <v>-0.15407777223221608</v>
      </c>
      <c r="K30" s="642">
        <f>'C2C'!K129</f>
        <v>138609982.7278536</v>
      </c>
      <c r="L30" s="100"/>
      <c r="Q30" s="69"/>
    </row>
    <row r="31" spans="1:18" ht="12.75" customHeight="1" x14ac:dyDescent="0.25">
      <c r="A31" s="416" t="s">
        <v>1123</v>
      </c>
      <c r="B31" s="428"/>
      <c r="C31" s="643">
        <f>'C2C'!C132</f>
        <v>899233616.65999961</v>
      </c>
      <c r="D31" s="671">
        <f>'C2C'!D132</f>
        <v>1194545745.0547059</v>
      </c>
      <c r="E31" s="672">
        <f>'C2C'!E132</f>
        <v>1244452658.5200856</v>
      </c>
      <c r="F31" s="672">
        <f>'C2C'!F132</f>
        <v>431133181.23999959</v>
      </c>
      <c r="G31" s="672">
        <f>'C2C'!G132</f>
        <v>1238302869.5299997</v>
      </c>
      <c r="H31" s="672">
        <f>'C2C'!H132</f>
        <v>1244452658.5200856</v>
      </c>
      <c r="I31" s="47">
        <f t="shared" si="10"/>
        <v>-6149788.9900858402</v>
      </c>
      <c r="J31" s="200">
        <f t="shared" si="11"/>
        <v>-4.9417621055984767E-3</v>
      </c>
      <c r="K31" s="673">
        <f>'C2C'!K132</f>
        <v>1244452658.5200856</v>
      </c>
      <c r="L31" s="100"/>
      <c r="Q31" s="69"/>
    </row>
    <row r="32" spans="1:18" ht="12.75" customHeight="1" x14ac:dyDescent="0.25">
      <c r="A32" s="416" t="s">
        <v>1134</v>
      </c>
      <c r="B32" s="428"/>
      <c r="C32" s="642">
        <f>'C2C'!C146</f>
        <v>18637938.279999994</v>
      </c>
      <c r="D32" s="670">
        <f>'C2C'!D146</f>
        <v>21986532.785097998</v>
      </c>
      <c r="E32" s="408">
        <f>'C2C'!E146</f>
        <v>22256532.785097998</v>
      </c>
      <c r="F32" s="408">
        <f>'C2C'!F146</f>
        <v>2057504.92</v>
      </c>
      <c r="G32" s="408">
        <f>'C2C'!G146</f>
        <v>16958418.140000001</v>
      </c>
      <c r="H32" s="408">
        <f>'C2C'!H146</f>
        <v>22256532.785097998</v>
      </c>
      <c r="I32" s="47">
        <f t="shared" si="10"/>
        <v>-5298114.645097997</v>
      </c>
      <c r="J32" s="200">
        <f t="shared" si="11"/>
        <v>-0.2380476193778657</v>
      </c>
      <c r="K32" s="642">
        <f>'C2C'!K146</f>
        <v>22256532.785097998</v>
      </c>
      <c r="L32" s="100"/>
      <c r="Q32" s="69"/>
    </row>
    <row r="33" spans="1:17" ht="12.75" customHeight="1" x14ac:dyDescent="0.25">
      <c r="A33" s="414" t="s">
        <v>109</v>
      </c>
      <c r="B33" s="428"/>
      <c r="C33" s="641">
        <f t="shared" ref="C33:H33" si="12">SUM(C34:C38)</f>
        <v>472238040.56</v>
      </c>
      <c r="D33" s="669">
        <f t="shared" si="12"/>
        <v>440067727.15977156</v>
      </c>
      <c r="E33" s="637">
        <f t="shared" si="12"/>
        <v>533334006.71673155</v>
      </c>
      <c r="F33" s="637">
        <f t="shared" si="12"/>
        <v>44497035.559999995</v>
      </c>
      <c r="G33" s="637">
        <f t="shared" si="12"/>
        <v>543305690.33000004</v>
      </c>
      <c r="H33" s="637">
        <f t="shared" si="12"/>
        <v>533334006.71673155</v>
      </c>
      <c r="I33" s="47">
        <f t="shared" si="10"/>
        <v>9971683.6132684946</v>
      </c>
      <c r="J33" s="200">
        <f t="shared" si="11"/>
        <v>1.869688316830832E-2</v>
      </c>
      <c r="K33" s="641">
        <f>SUM(K34:K38)</f>
        <v>533334006.71673155</v>
      </c>
      <c r="L33" s="100"/>
      <c r="Q33" s="69"/>
    </row>
    <row r="34" spans="1:17" ht="12.75" customHeight="1" x14ac:dyDescent="0.25">
      <c r="A34" s="416" t="s">
        <v>110</v>
      </c>
      <c r="B34" s="428"/>
      <c r="C34" s="642">
        <f>'C2C'!C149</f>
        <v>113129414.60000002</v>
      </c>
      <c r="D34" s="670">
        <f>'C2C'!D149</f>
        <v>128373725.79885694</v>
      </c>
      <c r="E34" s="408">
        <f>'C2C'!E149</f>
        <v>130889937.79885694</v>
      </c>
      <c r="F34" s="408">
        <f>'C2C'!F149</f>
        <v>11705713.01</v>
      </c>
      <c r="G34" s="408">
        <f>'C2C'!G149</f>
        <v>149429461.05000004</v>
      </c>
      <c r="H34" s="408">
        <f>'C2C'!H149</f>
        <v>130889937.79885694</v>
      </c>
      <c r="I34" s="47">
        <f t="shared" si="10"/>
        <v>18539523.251143098</v>
      </c>
      <c r="J34" s="200">
        <f t="shared" si="11"/>
        <v>0.14164208160625319</v>
      </c>
      <c r="K34" s="642">
        <f>'C2C'!K149</f>
        <v>130889937.79885694</v>
      </c>
      <c r="L34" s="100"/>
      <c r="Q34" s="69"/>
    </row>
    <row r="35" spans="1:17" ht="12.75" customHeight="1" x14ac:dyDescent="0.25">
      <c r="A35" s="416" t="s">
        <v>111</v>
      </c>
      <c r="B35" s="428"/>
      <c r="C35" s="642">
        <f>'C2C'!C171</f>
        <v>102369147.31999999</v>
      </c>
      <c r="D35" s="670">
        <f>'C2C'!D171</f>
        <v>114418472.68896006</v>
      </c>
      <c r="E35" s="408">
        <f>'C2C'!E171</f>
        <v>114548472.68896006</v>
      </c>
      <c r="F35" s="408">
        <f>'C2C'!F171</f>
        <v>11357718.169999996</v>
      </c>
      <c r="G35" s="408">
        <f>'C2C'!G171</f>
        <v>123243206.18000001</v>
      </c>
      <c r="H35" s="408">
        <f>'C2C'!H171</f>
        <v>114548472.68896006</v>
      </c>
      <c r="I35" s="47">
        <f t="shared" si="10"/>
        <v>8694733.4910399467</v>
      </c>
      <c r="J35" s="200">
        <f t="shared" si="11"/>
        <v>7.5904403497803488E-2</v>
      </c>
      <c r="K35" s="642">
        <f>'C2C'!K171</f>
        <v>114548472.68896006</v>
      </c>
      <c r="L35" s="100"/>
      <c r="Q35" s="69"/>
    </row>
    <row r="36" spans="1:17" ht="12.75" customHeight="1" x14ac:dyDescent="0.25">
      <c r="A36" s="416" t="s">
        <v>112</v>
      </c>
      <c r="B36" s="426"/>
      <c r="C36" s="642">
        <f>'C2C'!C177</f>
        <v>193214425.33999997</v>
      </c>
      <c r="D36" s="670">
        <f>'C2C'!D177</f>
        <v>106871795.2822189</v>
      </c>
      <c r="E36" s="408">
        <f>'C2C'!E177</f>
        <v>140511795.83917889</v>
      </c>
      <c r="F36" s="408">
        <f>'C2C'!F177</f>
        <v>14730279.499999996</v>
      </c>
      <c r="G36" s="408">
        <f>'C2C'!G177</f>
        <v>193944295.43000001</v>
      </c>
      <c r="H36" s="408">
        <f>'C2C'!H177</f>
        <v>140511795.83917889</v>
      </c>
      <c r="I36" s="47">
        <f t="shared" si="10"/>
        <v>53432499.590821117</v>
      </c>
      <c r="J36" s="200">
        <f t="shared" si="11"/>
        <v>0.38027056213826099</v>
      </c>
      <c r="K36" s="642">
        <f>'C2C'!K177</f>
        <v>140511795.83917889</v>
      </c>
      <c r="L36" s="100"/>
      <c r="Q36" s="70"/>
    </row>
    <row r="37" spans="1:17" ht="12.75" customHeight="1" x14ac:dyDescent="0.25">
      <c r="A37" s="416" t="s">
        <v>711</v>
      </c>
      <c r="B37" s="426"/>
      <c r="C37" s="642">
        <f>'C2C'!C186</f>
        <v>58055817.759999983</v>
      </c>
      <c r="D37" s="670">
        <f>'C2C'!D186</f>
        <v>90129848.361797929</v>
      </c>
      <c r="E37" s="408">
        <f>'C2C'!E186</f>
        <v>147109915.36179793</v>
      </c>
      <c r="F37" s="408">
        <f>'C2C'!F186</f>
        <v>5932678.3099999996</v>
      </c>
      <c r="G37" s="408">
        <f>'C2C'!G186</f>
        <v>67248924.449999988</v>
      </c>
      <c r="H37" s="408">
        <f>'C2C'!H186</f>
        <v>147109915.36179793</v>
      </c>
      <c r="I37" s="47">
        <f t="shared" si="10"/>
        <v>-79860990.911797941</v>
      </c>
      <c r="J37" s="200">
        <f t="shared" si="11"/>
        <v>-0.54286613322691468</v>
      </c>
      <c r="K37" s="642">
        <f>'C2C'!K186</f>
        <v>147109915.36179793</v>
      </c>
      <c r="L37" s="100"/>
      <c r="Q37" s="70"/>
    </row>
    <row r="38" spans="1:17" ht="12.75" customHeight="1" x14ac:dyDescent="0.25">
      <c r="A38" s="416" t="s">
        <v>610</v>
      </c>
      <c r="B38" s="426"/>
      <c r="C38" s="643">
        <f>'C2C'!C189</f>
        <v>5469235.5399999991</v>
      </c>
      <c r="D38" s="671">
        <f>'C2C'!D189</f>
        <v>273885.02793777513</v>
      </c>
      <c r="E38" s="672">
        <f>'C2C'!E189</f>
        <v>273885.02793777513</v>
      </c>
      <c r="F38" s="672">
        <f>'C2C'!F189</f>
        <v>770646.56999999972</v>
      </c>
      <c r="G38" s="672">
        <f>'C2C'!G189</f>
        <v>9439803.2199999988</v>
      </c>
      <c r="H38" s="672">
        <f>'C2C'!H189</f>
        <v>273885.02793777513</v>
      </c>
      <c r="I38" s="47">
        <f t="shared" si="10"/>
        <v>9165918.1920622233</v>
      </c>
      <c r="J38" s="200">
        <f t="shared" si="11"/>
        <v>33.466298837425533</v>
      </c>
      <c r="K38" s="673">
        <f>'C2C'!K189</f>
        <v>273885.02793777513</v>
      </c>
      <c r="L38" s="100"/>
      <c r="Q38" s="70"/>
    </row>
    <row r="39" spans="1:17" ht="12.75" customHeight="1" x14ac:dyDescent="0.25">
      <c r="A39" s="414" t="s">
        <v>113</v>
      </c>
      <c r="B39" s="426"/>
      <c r="C39" s="641">
        <f t="shared" ref="C39:H39" si="13">SUM(C40:C42)</f>
        <v>326641282.88000005</v>
      </c>
      <c r="D39" s="669">
        <f t="shared" si="13"/>
        <v>288173315.58344549</v>
      </c>
      <c r="E39" s="637">
        <f t="shared" si="13"/>
        <v>294605680.61754364</v>
      </c>
      <c r="F39" s="637">
        <f t="shared" si="13"/>
        <v>32110902.560000002</v>
      </c>
      <c r="G39" s="637">
        <f t="shared" si="13"/>
        <v>329154764.61999989</v>
      </c>
      <c r="H39" s="637">
        <f t="shared" si="13"/>
        <v>294605680.61754364</v>
      </c>
      <c r="I39" s="47">
        <f t="shared" si="10"/>
        <v>34549084.002456248</v>
      </c>
      <c r="J39" s="200">
        <f t="shared" si="11"/>
        <v>0.11727229403735695</v>
      </c>
      <c r="K39" s="641">
        <f>SUM(K40:K42)</f>
        <v>294605680.61754364</v>
      </c>
      <c r="L39" s="100"/>
      <c r="Q39" s="70"/>
    </row>
    <row r="40" spans="1:17" ht="12.75" customHeight="1" x14ac:dyDescent="0.25">
      <c r="A40" s="416" t="s">
        <v>114</v>
      </c>
      <c r="B40" s="426"/>
      <c r="C40" s="642">
        <f>'C2C'!C198</f>
        <v>83509759.390000015</v>
      </c>
      <c r="D40" s="670">
        <f>'C2C'!D198</f>
        <v>92239503.875528902</v>
      </c>
      <c r="E40" s="408">
        <f>'C2C'!E198</f>
        <v>94069123.875528887</v>
      </c>
      <c r="F40" s="408">
        <f>'C2C'!F198</f>
        <v>10145555.199999999</v>
      </c>
      <c r="G40" s="408">
        <f>'C2C'!G198</f>
        <v>71329435.149999991</v>
      </c>
      <c r="H40" s="408">
        <f>'C2C'!H198</f>
        <v>94069123.875528887</v>
      </c>
      <c r="I40" s="47">
        <f t="shared" si="10"/>
        <v>-22739688.725528896</v>
      </c>
      <c r="J40" s="200">
        <f t="shared" si="11"/>
        <v>-0.24173382071271093</v>
      </c>
      <c r="K40" s="642">
        <f>'C2C'!K198</f>
        <v>94069123.875528887</v>
      </c>
      <c r="L40" s="100"/>
      <c r="Q40" s="70"/>
    </row>
    <row r="41" spans="1:17" ht="12.75" customHeight="1" x14ac:dyDescent="0.25">
      <c r="A41" s="416" t="s">
        <v>115</v>
      </c>
      <c r="B41" s="426"/>
      <c r="C41" s="642">
        <f>'C2C'!C209</f>
        <v>222698043.43000001</v>
      </c>
      <c r="D41" s="670">
        <f>'C2C'!D209</f>
        <v>171068986.74871668</v>
      </c>
      <c r="E41" s="408">
        <f>'C2C'!E209</f>
        <v>175671731.78281486</v>
      </c>
      <c r="F41" s="408">
        <f>'C2C'!F209</f>
        <v>20213443.160000004</v>
      </c>
      <c r="G41" s="408">
        <f>'C2C'!G209</f>
        <v>236933944.49999994</v>
      </c>
      <c r="H41" s="408">
        <f>'C2C'!H209</f>
        <v>175671731.78281486</v>
      </c>
      <c r="I41" s="47">
        <f t="shared" si="10"/>
        <v>61262212.71718508</v>
      </c>
      <c r="J41" s="200">
        <f t="shared" si="11"/>
        <v>0.34873119366139288</v>
      </c>
      <c r="K41" s="642">
        <f>'C2C'!K209</f>
        <v>175671731.78281486</v>
      </c>
      <c r="L41" s="100"/>
      <c r="Q41" s="70"/>
    </row>
    <row r="42" spans="1:17" ht="12.75" customHeight="1" x14ac:dyDescent="0.25">
      <c r="A42" s="416" t="s">
        <v>116</v>
      </c>
      <c r="B42" s="426"/>
      <c r="C42" s="642">
        <f>'C2C'!C214</f>
        <v>20433480.060000002</v>
      </c>
      <c r="D42" s="670">
        <f>'C2C'!D214</f>
        <v>24864824.959199883</v>
      </c>
      <c r="E42" s="408">
        <f>'C2C'!E214</f>
        <v>24864824.959199883</v>
      </c>
      <c r="F42" s="408">
        <f>'C2C'!F214</f>
        <v>1751904.2000000002</v>
      </c>
      <c r="G42" s="408">
        <f>'C2C'!G214</f>
        <v>20891384.969999999</v>
      </c>
      <c r="H42" s="408">
        <f>'C2C'!H214</f>
        <v>24864824.959199883</v>
      </c>
      <c r="I42" s="47">
        <f t="shared" si="10"/>
        <v>-3973439.9891998842</v>
      </c>
      <c r="J42" s="200">
        <f t="shared" si="11"/>
        <v>-0.15980164733593782</v>
      </c>
      <c r="K42" s="642">
        <f>'C2C'!K214</f>
        <v>24864824.959199883</v>
      </c>
      <c r="L42" s="100"/>
      <c r="Q42" s="70"/>
    </row>
    <row r="43" spans="1:17" ht="12.75" customHeight="1" x14ac:dyDescent="0.25">
      <c r="A43" s="414" t="s">
        <v>117</v>
      </c>
      <c r="B43" s="426"/>
      <c r="C43" s="641">
        <f>SUM(C44:C47)</f>
        <v>3649462488.5699983</v>
      </c>
      <c r="D43" s="669">
        <f t="shared" ref="D43:I43" si="14">SUM(D44:D47)</f>
        <v>3353046546.6774907</v>
      </c>
      <c r="E43" s="637">
        <f t="shared" si="14"/>
        <v>3358591185.4474902</v>
      </c>
      <c r="F43" s="637">
        <f t="shared" si="14"/>
        <v>419011488.99000013</v>
      </c>
      <c r="G43" s="637">
        <f t="shared" si="14"/>
        <v>3474444720.4300008</v>
      </c>
      <c r="H43" s="637">
        <f t="shared" si="14"/>
        <v>3358591185.4474902</v>
      </c>
      <c r="I43" s="47">
        <f t="shared" si="14"/>
        <v>115853534.98251034</v>
      </c>
      <c r="J43" s="200">
        <f t="shared" si="11"/>
        <v>3.4494682021585281E-2</v>
      </c>
      <c r="K43" s="641">
        <f>SUM(K44:K47)</f>
        <v>3358591185.4474902</v>
      </c>
      <c r="L43" s="100"/>
      <c r="Q43" s="70"/>
    </row>
    <row r="44" spans="1:17" ht="12.75" customHeight="1" x14ac:dyDescent="0.25">
      <c r="A44" s="416" t="s">
        <v>1191</v>
      </c>
      <c r="B44" s="426"/>
      <c r="C44" s="642">
        <f>'C2C'!C222</f>
        <v>2064060141.4699986</v>
      </c>
      <c r="D44" s="670">
        <f>'C2C'!D222</f>
        <v>2291332272.7237678</v>
      </c>
      <c r="E44" s="408">
        <f>'C2C'!E222</f>
        <v>2205525042.7237678</v>
      </c>
      <c r="F44" s="408">
        <f>'C2C'!F222</f>
        <v>281658061.48000008</v>
      </c>
      <c r="G44" s="408">
        <f>'C2C'!G222</f>
        <v>2169997385.6400008</v>
      </c>
      <c r="H44" s="408">
        <f>'C2C'!H222</f>
        <v>2205525042.7237678</v>
      </c>
      <c r="I44" s="47">
        <f t="shared" si="10"/>
        <v>-35527657.083766937</v>
      </c>
      <c r="J44" s="200">
        <f t="shared" si="11"/>
        <v>-1.6108480473153539E-2</v>
      </c>
      <c r="K44" s="642">
        <f>'C2C'!K222</f>
        <v>2205525042.7237678</v>
      </c>
      <c r="L44" s="100"/>
      <c r="Q44" s="70"/>
    </row>
    <row r="45" spans="1:17" ht="12.75" customHeight="1" x14ac:dyDescent="0.25">
      <c r="A45" s="416" t="s">
        <v>1195</v>
      </c>
      <c r="B45" s="426"/>
      <c r="C45" s="642">
        <f>'C2C'!C226</f>
        <v>1207807520.1199999</v>
      </c>
      <c r="D45" s="670">
        <f>'C2C'!D226</f>
        <v>0</v>
      </c>
      <c r="E45" s="408">
        <f>'C2C'!E226</f>
        <v>31023406.77</v>
      </c>
      <c r="F45" s="408">
        <f>'C2C'!F226</f>
        <v>104952613.17000002</v>
      </c>
      <c r="G45" s="408">
        <f>'C2C'!G226</f>
        <v>933960139.24000001</v>
      </c>
      <c r="H45" s="408">
        <f>'C2C'!H226</f>
        <v>31023406.77</v>
      </c>
      <c r="I45" s="47">
        <f t="shared" si="10"/>
        <v>902936732.47000003</v>
      </c>
      <c r="J45" s="200">
        <f t="shared" si="11"/>
        <v>29.105015421554235</v>
      </c>
      <c r="K45" s="642">
        <f>'C2C'!K226</f>
        <v>31023406.77</v>
      </c>
      <c r="L45" s="100"/>
      <c r="Q45" s="70"/>
    </row>
    <row r="46" spans="1:17" ht="12.75" customHeight="1" x14ac:dyDescent="0.25">
      <c r="A46" s="416" t="s">
        <v>118</v>
      </c>
      <c r="B46" s="426"/>
      <c r="C46" s="643">
        <f>'C2C'!C230</f>
        <v>252760434.96000001</v>
      </c>
      <c r="D46" s="671">
        <f>'C2C'!D230</f>
        <v>931929869.0260967</v>
      </c>
      <c r="E46" s="672">
        <f>'C2C'!E230</f>
        <v>995608331.02609658</v>
      </c>
      <c r="F46" s="672">
        <f>'C2C'!F230</f>
        <v>21775119.969999999</v>
      </c>
      <c r="G46" s="672">
        <f>'C2C'!G230</f>
        <v>250867004.62</v>
      </c>
      <c r="H46" s="672">
        <f>'C2C'!H230</f>
        <v>995608331.02609658</v>
      </c>
      <c r="I46" s="47">
        <f t="shared" si="10"/>
        <v>-744741326.40609658</v>
      </c>
      <c r="J46" s="200">
        <f t="shared" si="11"/>
        <v>-0.74802641078600585</v>
      </c>
      <c r="K46" s="673">
        <f>'C2C'!K230</f>
        <v>995608331.02609658</v>
      </c>
      <c r="L46" s="100"/>
      <c r="Q46" s="70"/>
    </row>
    <row r="47" spans="1:17" ht="12.75" customHeight="1" x14ac:dyDescent="0.25">
      <c r="A47" s="416" t="s">
        <v>119</v>
      </c>
      <c r="B47" s="426"/>
      <c r="C47" s="642">
        <f>'C2C'!C235</f>
        <v>124834392.02</v>
      </c>
      <c r="D47" s="670">
        <f>'C2C'!D235</f>
        <v>129784404.92762612</v>
      </c>
      <c r="E47" s="408">
        <f>'C2C'!E235</f>
        <v>126434404.92762612</v>
      </c>
      <c r="F47" s="408">
        <f>'C2C'!F235</f>
        <v>10625694.370000003</v>
      </c>
      <c r="G47" s="408">
        <f>'C2C'!G235</f>
        <v>119620190.92999995</v>
      </c>
      <c r="H47" s="408">
        <f>'C2C'!H235</f>
        <v>126434404.92762612</v>
      </c>
      <c r="I47" s="47">
        <f t="shared" si="10"/>
        <v>-6814213.9976261705</v>
      </c>
      <c r="J47" s="200">
        <f t="shared" si="11"/>
        <v>-5.3895251071310685E-2</v>
      </c>
      <c r="K47" s="642">
        <f>'C2C'!K235</f>
        <v>126434404.92762612</v>
      </c>
      <c r="L47" s="100"/>
      <c r="Q47" s="70"/>
    </row>
    <row r="48" spans="1:17" ht="12.75" customHeight="1" x14ac:dyDescent="0.25">
      <c r="A48" s="414" t="s">
        <v>718</v>
      </c>
      <c r="B48" s="426"/>
      <c r="C48" s="641">
        <f>'C2C'!C240</f>
        <v>76856662.089999989</v>
      </c>
      <c r="D48" s="669">
        <f>'C2C'!D240</f>
        <v>81300979.882271051</v>
      </c>
      <c r="E48" s="637">
        <f>'C2C'!E240</f>
        <v>81300979.882271051</v>
      </c>
      <c r="F48" s="637">
        <f>'C2C'!F240</f>
        <v>5571782.6399999987</v>
      </c>
      <c r="G48" s="637">
        <f>'C2C'!G240</f>
        <v>52623702.280000009</v>
      </c>
      <c r="H48" s="637">
        <f>'C2C'!H240</f>
        <v>81300979.882271051</v>
      </c>
      <c r="I48" s="102">
        <f t="shared" si="10"/>
        <v>-28677277.602271043</v>
      </c>
      <c r="J48" s="713">
        <f t="shared" si="11"/>
        <v>-0.35272979051172015</v>
      </c>
      <c r="K48" s="641">
        <f>'C2C'!K240</f>
        <v>81300979.882271051</v>
      </c>
      <c r="L48" s="100"/>
      <c r="Q48" s="70"/>
    </row>
    <row r="49" spans="1:17" ht="12.75" customHeight="1" x14ac:dyDescent="0.25">
      <c r="A49" s="92" t="s">
        <v>1209</v>
      </c>
      <c r="B49" s="422">
        <v>3</v>
      </c>
      <c r="C49" s="600">
        <f>C29+C33+C39+C43+C48</f>
        <v>5566648837.5499983</v>
      </c>
      <c r="D49" s="598">
        <f t="shared" ref="D49:I49" si="15">D29+D33+D39+D43+D48</f>
        <v>5516853313.5446301</v>
      </c>
      <c r="E49" s="545">
        <f t="shared" si="15"/>
        <v>5673151026.697073</v>
      </c>
      <c r="F49" s="545">
        <f t="shared" si="15"/>
        <v>957176296.24999964</v>
      </c>
      <c r="G49" s="545">
        <f t="shared" si="15"/>
        <v>5772043430.71</v>
      </c>
      <c r="H49" s="545">
        <f t="shared" si="15"/>
        <v>5673151026.697073</v>
      </c>
      <c r="I49" s="545">
        <f t="shared" si="15"/>
        <v>98892404.012926579</v>
      </c>
      <c r="J49" s="599">
        <f t="shared" si="11"/>
        <v>1.743165368726347E-2</v>
      </c>
      <c r="K49" s="720">
        <f>K29+K33+K39+K43+K48</f>
        <v>5673151026.697073</v>
      </c>
      <c r="L49" s="100"/>
      <c r="Q49" s="75"/>
    </row>
    <row r="50" spans="1:17" ht="12.75" customHeight="1" x14ac:dyDescent="0.25">
      <c r="A50" s="94" t="s">
        <v>893</v>
      </c>
      <c r="B50" s="429"/>
      <c r="C50" s="540">
        <f t="shared" ref="C50:H50" si="16">C26-C49</f>
        <v>223395341.15000153</v>
      </c>
      <c r="D50" s="640">
        <f t="shared" si="16"/>
        <v>927224369.32743168</v>
      </c>
      <c r="E50" s="634">
        <f t="shared" si="16"/>
        <v>914456605.17499161</v>
      </c>
      <c r="F50" s="634">
        <f t="shared" si="16"/>
        <v>-369620363.41999972</v>
      </c>
      <c r="G50" s="634">
        <f t="shared" si="16"/>
        <v>388440905.75</v>
      </c>
      <c r="H50" s="634">
        <f t="shared" si="16"/>
        <v>914456605.17499256</v>
      </c>
      <c r="I50" s="634">
        <f>I26-I49</f>
        <v>-526015699.42499179</v>
      </c>
      <c r="J50" s="638">
        <f>IF(I50=0,"",I50/H50)</f>
        <v>-0.57522215537426424</v>
      </c>
      <c r="K50" s="639">
        <f>K26-K49</f>
        <v>914456605.17499161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8" t="s">
        <v>1212</v>
      </c>
      <c r="B55" s="1048"/>
      <c r="C55" s="1048"/>
      <c r="D55" s="1048"/>
      <c r="E55" s="1048"/>
      <c r="F55" s="1048"/>
      <c r="G55" s="1048"/>
      <c r="H55" s="1048"/>
      <c r="I55" s="1048"/>
      <c r="J55" s="1048"/>
      <c r="K55" s="104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row r="93" s="25" customFormat="1" ht="11.25" customHeight="1" x14ac:dyDescent="0.25"/>
    <row r="94" s="25" customFormat="1"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8" activePane="bottomRight" state="frozen"/>
      <selection pane="topRight"/>
      <selection pane="bottomLeft"/>
      <selection pane="bottomRight" activeCell="K246" sqref="K246"/>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7" t="str">
        <f>muni&amp; " - "&amp;S71A&amp; " - "&amp;date</f>
        <v>KZN225 Msunduzi - Table C2 Consolidated Monthly Budget Statement - Financial Performance (functional classification)  - Q4 Fourth Quarter</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1658394619.1699998</v>
      </c>
      <c r="D6" s="605">
        <f t="shared" si="0"/>
        <v>1572338502.3175159</v>
      </c>
      <c r="E6" s="605">
        <f t="shared" si="0"/>
        <v>1661336502.3175159</v>
      </c>
      <c r="F6" s="605">
        <f t="shared" si="0"/>
        <v>118149631.60999998</v>
      </c>
      <c r="G6" s="605">
        <f t="shared" si="0"/>
        <v>1690126933.4100001</v>
      </c>
      <c r="H6" s="605">
        <f t="shared" si="0"/>
        <v>1661336502.3175161</v>
      </c>
      <c r="I6" s="632">
        <f>G6-H6</f>
        <v>28790431.092483997</v>
      </c>
      <c r="J6" s="633">
        <f>IF(I6=0,"",I6/H6)</f>
        <v>1.7329680683186209E-2</v>
      </c>
      <c r="K6" s="606">
        <f>K7+K10+K24</f>
        <v>1661336502.3175159</v>
      </c>
      <c r="L6" s="100"/>
    </row>
    <row r="7" spans="1:12" x14ac:dyDescent="0.25">
      <c r="A7" s="607" t="s">
        <v>108</v>
      </c>
      <c r="B7" s="415"/>
      <c r="C7" s="608">
        <f>SUM(C8:C9)</f>
        <v>4200350.03</v>
      </c>
      <c r="D7" s="608">
        <f t="shared" ref="D7:K7" si="1">SUM(D8:D9)</f>
        <v>4447530.0133999996</v>
      </c>
      <c r="E7" s="608">
        <f t="shared" si="1"/>
        <v>4447530.0133999996</v>
      </c>
      <c r="F7" s="608">
        <f t="shared" si="1"/>
        <v>145353.01999999999</v>
      </c>
      <c r="G7" s="608">
        <f t="shared" si="1"/>
        <v>3915986.26</v>
      </c>
      <c r="H7" s="608">
        <f t="shared" si="1"/>
        <v>4447530.0133999996</v>
      </c>
      <c r="I7" s="608">
        <f t="shared" ref="I7:I123" si="2">G7-H7</f>
        <v>-531543.75339999981</v>
      </c>
      <c r="J7" s="608">
        <f t="shared" ref="J7:J123" si="3">IF(I7=0,"",I7/H7)</f>
        <v>-0.11951437130238746</v>
      </c>
      <c r="K7" s="610">
        <f t="shared" si="1"/>
        <v>4447530.0133999996</v>
      </c>
      <c r="L7" s="100"/>
    </row>
    <row r="8" spans="1:12" x14ac:dyDescent="0.25">
      <c r="A8" s="695" t="s">
        <v>160</v>
      </c>
      <c r="B8" s="415"/>
      <c r="C8" s="733">
        <v>-128873.70999999999</v>
      </c>
      <c r="D8" s="733"/>
      <c r="E8" s="733"/>
      <c r="F8" s="733"/>
      <c r="G8" s="733"/>
      <c r="H8" s="733"/>
      <c r="I8" s="408">
        <f t="shared" si="2"/>
        <v>0</v>
      </c>
      <c r="J8" s="408" t="str">
        <f t="shared" si="3"/>
        <v/>
      </c>
      <c r="K8" s="735"/>
      <c r="L8" s="100"/>
    </row>
    <row r="9" spans="1:12" ht="22.5" x14ac:dyDescent="0.25">
      <c r="A9" s="695" t="s">
        <v>1122</v>
      </c>
      <c r="B9" s="415"/>
      <c r="C9" s="733">
        <v>4329223.74</v>
      </c>
      <c r="D9" s="733">
        <v>4447530.0133999996</v>
      </c>
      <c r="E9" s="733">
        <v>4447530.0133999996</v>
      </c>
      <c r="F9" s="733">
        <v>145353.01999999999</v>
      </c>
      <c r="G9" s="733">
        <v>3915986.26</v>
      </c>
      <c r="H9" s="733">
        <f>E9/12*12</f>
        <v>4447530.0133999996</v>
      </c>
      <c r="I9" s="408">
        <f t="shared" si="2"/>
        <v>-531543.75339999981</v>
      </c>
      <c r="J9" s="408">
        <f t="shared" si="3"/>
        <v>-0.11951437130238746</v>
      </c>
      <c r="K9" s="735">
        <f>E9</f>
        <v>4447530.0133999996</v>
      </c>
      <c r="L9" s="100"/>
    </row>
    <row r="10" spans="1:12" x14ac:dyDescent="0.25">
      <c r="A10" s="607" t="s">
        <v>1123</v>
      </c>
      <c r="B10" s="415"/>
      <c r="C10" s="608">
        <f t="shared" ref="C10:H10" si="4">SUM(C11:C23)</f>
        <v>1654194234.2399998</v>
      </c>
      <c r="D10" s="608">
        <f t="shared" si="4"/>
        <v>1567890972.3041158</v>
      </c>
      <c r="E10" s="608">
        <f t="shared" si="4"/>
        <v>1656888972.3041158</v>
      </c>
      <c r="F10" s="608">
        <f t="shared" si="4"/>
        <v>118004278.58999999</v>
      </c>
      <c r="G10" s="608">
        <f t="shared" si="4"/>
        <v>1686210947.1500001</v>
      </c>
      <c r="H10" s="608">
        <f t="shared" si="4"/>
        <v>1656888972.304116</v>
      </c>
      <c r="I10" s="608">
        <f t="shared" ref="I10:I15" si="5">G10-H10</f>
        <v>29321974.845884085</v>
      </c>
      <c r="J10" s="608">
        <f t="shared" ref="J10:J15" si="6">IF(I10=0,"",I10/H10)</f>
        <v>1.7697006459707513E-2</v>
      </c>
      <c r="K10" s="608">
        <f>SUM(K11:K23)</f>
        <v>1656888972.3041158</v>
      </c>
      <c r="L10" s="100"/>
    </row>
    <row r="11" spans="1:12" x14ac:dyDescent="0.25">
      <c r="A11" s="695" t="s">
        <v>1124</v>
      </c>
      <c r="B11" s="415"/>
      <c r="C11" s="733">
        <v>3500875.81</v>
      </c>
      <c r="D11" s="733"/>
      <c r="E11" s="733"/>
      <c r="F11" s="733"/>
      <c r="G11" s="733"/>
      <c r="H11" s="733"/>
      <c r="I11" s="408">
        <f t="shared" si="5"/>
        <v>0</v>
      </c>
      <c r="J11" s="408" t="str">
        <f t="shared" si="6"/>
        <v/>
      </c>
      <c r="K11" s="735"/>
      <c r="L11" s="100"/>
    </row>
    <row r="12" spans="1:12" x14ac:dyDescent="0.25">
      <c r="A12" s="695" t="s">
        <v>1125</v>
      </c>
      <c r="B12" s="415"/>
      <c r="C12" s="733">
        <v>1356895.9</v>
      </c>
      <c r="D12" s="733"/>
      <c r="E12" s="733"/>
      <c r="F12" s="733">
        <v>2037876.14</v>
      </c>
      <c r="G12" s="733">
        <v>2037876.14</v>
      </c>
      <c r="H12" s="733"/>
      <c r="I12" s="408">
        <f t="shared" si="5"/>
        <v>2037876.14</v>
      </c>
      <c r="J12" s="408" t="e">
        <f t="shared" si="6"/>
        <v>#DIV/0!</v>
      </c>
      <c r="K12" s="735"/>
      <c r="L12" s="100"/>
    </row>
    <row r="13" spans="1:12" x14ac:dyDescent="0.25">
      <c r="A13" s="695" t="s">
        <v>1126</v>
      </c>
      <c r="B13" s="415"/>
      <c r="C13" s="733">
        <v>1590314851.0899999</v>
      </c>
      <c r="D13" s="733">
        <v>1548651791.6176159</v>
      </c>
      <c r="E13" s="733">
        <v>1637649791.6176159</v>
      </c>
      <c r="F13" s="733">
        <v>114259049.42</v>
      </c>
      <c r="G13" s="733">
        <v>1669707839.97</v>
      </c>
      <c r="H13" s="733">
        <f>E13/12*12</f>
        <v>1637649791.6176162</v>
      </c>
      <c r="I13" s="408">
        <f t="shared" si="5"/>
        <v>32058048.352383852</v>
      </c>
      <c r="J13" s="408">
        <f t="shared" si="6"/>
        <v>1.9575643410742888E-2</v>
      </c>
      <c r="K13" s="735">
        <f>E13</f>
        <v>1637649791.6176159</v>
      </c>
      <c r="L13" s="100"/>
    </row>
    <row r="14" spans="1:12" x14ac:dyDescent="0.25">
      <c r="A14" s="695" t="s">
        <v>1127</v>
      </c>
      <c r="B14" s="415"/>
      <c r="C14" s="733"/>
      <c r="D14" s="733"/>
      <c r="E14" s="733">
        <v>0</v>
      </c>
      <c r="F14" s="733"/>
      <c r="G14" s="733"/>
      <c r="H14" s="733"/>
      <c r="I14" s="408">
        <f t="shared" si="5"/>
        <v>0</v>
      </c>
      <c r="J14" s="408" t="str">
        <f t="shared" si="6"/>
        <v/>
      </c>
      <c r="K14" s="735"/>
      <c r="L14" s="100"/>
    </row>
    <row r="15" spans="1:12" x14ac:dyDescent="0.25">
      <c r="A15" s="695" t="s">
        <v>161</v>
      </c>
      <c r="B15" s="415"/>
      <c r="C15" s="733">
        <v>9291052.9399999995</v>
      </c>
      <c r="D15" s="733">
        <v>18980058.640900001</v>
      </c>
      <c r="E15" s="733">
        <v>18980058.640900001</v>
      </c>
      <c r="F15" s="733">
        <v>434866.77</v>
      </c>
      <c r="G15" s="733">
        <v>8035853.2300000004</v>
      </c>
      <c r="H15" s="733">
        <f>E15/12*12</f>
        <v>18980058.640900001</v>
      </c>
      <c r="I15" s="408">
        <f t="shared" si="5"/>
        <v>-10944205.4109</v>
      </c>
      <c r="J15" s="408">
        <f t="shared" si="6"/>
        <v>-0.57661599565959221</v>
      </c>
      <c r="K15" s="735">
        <f>E15</f>
        <v>18980058.640900001</v>
      </c>
      <c r="L15" s="100"/>
    </row>
    <row r="16" spans="1:12" x14ac:dyDescent="0.25">
      <c r="A16" s="695" t="s">
        <v>162</v>
      </c>
      <c r="B16" s="415"/>
      <c r="C16" s="733">
        <v>616.54000000000008</v>
      </c>
      <c r="D16" s="733">
        <v>2016.0139999999999</v>
      </c>
      <c r="E16" s="733">
        <v>2016.0139999999999</v>
      </c>
      <c r="F16" s="733">
        <v>-58.26</v>
      </c>
      <c r="G16" s="733">
        <v>476.51</v>
      </c>
      <c r="H16" s="733">
        <f t="shared" ref="H16:H17" si="7">E16/12*12</f>
        <v>2016.0139999999997</v>
      </c>
      <c r="I16" s="408">
        <f t="shared" ref="I16:I23" si="8">G16-H16</f>
        <v>-1539.5039999999997</v>
      </c>
      <c r="J16" s="408">
        <f t="shared" ref="J16:J23" si="9">IF(I16=0,"",I16/H16)</f>
        <v>-0.76363755410428691</v>
      </c>
      <c r="K16" s="735">
        <f>E16</f>
        <v>2016.0139999999999</v>
      </c>
      <c r="L16" s="100"/>
    </row>
    <row r="17" spans="1:12" x14ac:dyDescent="0.25">
      <c r="A17" s="695" t="s">
        <v>1128</v>
      </c>
      <c r="B17" s="415"/>
      <c r="C17" s="733">
        <v>135.57</v>
      </c>
      <c r="D17" s="733">
        <v>257106.03159999999</v>
      </c>
      <c r="E17" s="733">
        <v>257106.03159999999</v>
      </c>
      <c r="F17" s="733">
        <v>35</v>
      </c>
      <c r="G17" s="733">
        <v>140.80000000000001</v>
      </c>
      <c r="H17" s="733">
        <f t="shared" si="7"/>
        <v>257106.03159999999</v>
      </c>
      <c r="I17" s="408">
        <f t="shared" si="8"/>
        <v>-256965.2316</v>
      </c>
      <c r="J17" s="408">
        <f t="shared" si="9"/>
        <v>-0.99945236601753851</v>
      </c>
      <c r="K17" s="735">
        <f>E17</f>
        <v>257106.03159999999</v>
      </c>
      <c r="L17" s="100"/>
    </row>
    <row r="18" spans="1:12" ht="22.5" x14ac:dyDescent="0.25">
      <c r="A18" s="695" t="s">
        <v>1129</v>
      </c>
      <c r="B18" s="415"/>
      <c r="C18" s="733">
        <v>13.04</v>
      </c>
      <c r="D18" s="733"/>
      <c r="E18" s="733"/>
      <c r="F18" s="733"/>
      <c r="G18" s="733"/>
      <c r="H18" s="733"/>
      <c r="I18" s="408">
        <f t="shared" si="8"/>
        <v>0</v>
      </c>
      <c r="J18" s="408" t="str">
        <f t="shared" si="9"/>
        <v/>
      </c>
      <c r="K18" s="735"/>
      <c r="L18" s="100"/>
    </row>
    <row r="19" spans="1:12" x14ac:dyDescent="0.25">
      <c r="A19" s="695" t="s">
        <v>163</v>
      </c>
      <c r="B19" s="415"/>
      <c r="C19" s="733">
        <v>39624986.5</v>
      </c>
      <c r="D19" s="733"/>
      <c r="E19" s="733"/>
      <c r="F19" s="733">
        <v>1272073.8600000001</v>
      </c>
      <c r="G19" s="733">
        <v>6327336.6299999999</v>
      </c>
      <c r="H19" s="733"/>
      <c r="I19" s="408">
        <f t="shared" si="8"/>
        <v>6327336.6299999999</v>
      </c>
      <c r="J19" s="408" t="e">
        <f t="shared" si="9"/>
        <v>#DIV/0!</v>
      </c>
      <c r="K19" s="735"/>
      <c r="L19" s="100"/>
    </row>
    <row r="20" spans="1:12" x14ac:dyDescent="0.25">
      <c r="A20" s="695" t="s">
        <v>1130</v>
      </c>
      <c r="B20" s="415"/>
      <c r="C20" s="733">
        <v>173.73</v>
      </c>
      <c r="D20" s="733"/>
      <c r="E20" s="733"/>
      <c r="F20" s="733"/>
      <c r="G20" s="733"/>
      <c r="H20" s="733"/>
      <c r="I20" s="408">
        <f t="shared" si="8"/>
        <v>0</v>
      </c>
      <c r="J20" s="408" t="str">
        <f t="shared" si="9"/>
        <v/>
      </c>
      <c r="K20" s="735"/>
      <c r="L20" s="100"/>
    </row>
    <row r="21" spans="1:12" x14ac:dyDescent="0.25">
      <c r="A21" s="695" t="s">
        <v>1131</v>
      </c>
      <c r="B21" s="415"/>
      <c r="C21" s="733">
        <v>173.73</v>
      </c>
      <c r="D21" s="733"/>
      <c r="E21" s="733"/>
      <c r="F21" s="733"/>
      <c r="G21" s="733"/>
      <c r="H21" s="733"/>
      <c r="I21" s="408">
        <f t="shared" si="8"/>
        <v>0</v>
      </c>
      <c r="J21" s="408" t="str">
        <f t="shared" si="9"/>
        <v/>
      </c>
      <c r="K21" s="735"/>
      <c r="L21" s="100"/>
    </row>
    <row r="22" spans="1:12" x14ac:dyDescent="0.25">
      <c r="A22" s="695" t="s">
        <v>1132</v>
      </c>
      <c r="B22" s="415"/>
      <c r="C22" s="733">
        <v>79973.34</v>
      </c>
      <c r="D22" s="733"/>
      <c r="E22" s="733"/>
      <c r="F22" s="733">
        <v>435.66</v>
      </c>
      <c r="G22" s="733">
        <v>101423.87</v>
      </c>
      <c r="H22" s="733"/>
      <c r="I22" s="408">
        <f t="shared" si="8"/>
        <v>101423.87</v>
      </c>
      <c r="J22" s="408" t="e">
        <f t="shared" si="9"/>
        <v>#DIV/0!</v>
      </c>
      <c r="K22" s="735"/>
      <c r="L22" s="100"/>
    </row>
    <row r="23" spans="1:12" x14ac:dyDescent="0.25">
      <c r="A23" s="695" t="s">
        <v>1133</v>
      </c>
      <c r="B23" s="415"/>
      <c r="C23" s="733">
        <v>10024486.050000001</v>
      </c>
      <c r="D23" s="733"/>
      <c r="E23" s="733"/>
      <c r="F23" s="733"/>
      <c r="G23" s="733"/>
      <c r="H23" s="733"/>
      <c r="I23" s="408">
        <f t="shared" si="8"/>
        <v>0</v>
      </c>
      <c r="J23" s="408" t="str">
        <f t="shared" si="9"/>
        <v/>
      </c>
      <c r="K23" s="735"/>
      <c r="L23" s="100"/>
    </row>
    <row r="24" spans="1:12" x14ac:dyDescent="0.25">
      <c r="A24" s="607" t="s">
        <v>1134</v>
      </c>
      <c r="B24" s="415"/>
      <c r="C24" s="608">
        <f t="shared" ref="C24:H24" si="10">SUM(C25:C25)</f>
        <v>34.9</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v>34.9</v>
      </c>
      <c r="D25" s="733"/>
      <c r="E25" s="733"/>
      <c r="F25" s="733"/>
      <c r="G25" s="733"/>
      <c r="H25" s="733"/>
      <c r="I25" s="408">
        <f t="shared" si="2"/>
        <v>0</v>
      </c>
      <c r="J25" s="408" t="str">
        <f t="shared" si="3"/>
        <v/>
      </c>
      <c r="K25" s="735"/>
      <c r="L25" s="100"/>
    </row>
    <row r="26" spans="1:12" x14ac:dyDescent="0.25">
      <c r="A26" s="414" t="s">
        <v>109</v>
      </c>
      <c r="B26" s="415"/>
      <c r="C26" s="605">
        <f>C27+C49+C55+C64+C67</f>
        <v>155266538.72</v>
      </c>
      <c r="D26" s="605">
        <f t="shared" ref="D26:K26" si="11">D27+D49+D55+D64+D67</f>
        <v>369251054.47721577</v>
      </c>
      <c r="E26" s="605">
        <f t="shared" si="11"/>
        <v>421154744.47721577</v>
      </c>
      <c r="F26" s="605">
        <f t="shared" si="11"/>
        <v>18685158.34</v>
      </c>
      <c r="G26" s="605">
        <f t="shared" si="11"/>
        <v>148310067.69999999</v>
      </c>
      <c r="H26" s="605">
        <f t="shared" si="11"/>
        <v>421154744.47721577</v>
      </c>
      <c r="I26" s="605">
        <f t="shared" si="2"/>
        <v>-272844676.77721578</v>
      </c>
      <c r="J26" s="605">
        <f t="shared" si="3"/>
        <v>-0.64784899221757797</v>
      </c>
      <c r="K26" s="606">
        <f t="shared" si="11"/>
        <v>421154744.47721577</v>
      </c>
      <c r="L26" s="100"/>
    </row>
    <row r="27" spans="1:12" x14ac:dyDescent="0.25">
      <c r="A27" s="607" t="s">
        <v>110</v>
      </c>
      <c r="B27" s="415"/>
      <c r="C27" s="611">
        <f t="shared" ref="C27:H27" si="12">SUM(C28:C48)</f>
        <v>38829586.050000004</v>
      </c>
      <c r="D27" s="611">
        <f t="shared" si="12"/>
        <v>26242986.682700001</v>
      </c>
      <c r="E27" s="611">
        <f t="shared" si="12"/>
        <v>26648021.682700001</v>
      </c>
      <c r="F27" s="611">
        <f t="shared" si="12"/>
        <v>814921.81</v>
      </c>
      <c r="G27" s="611">
        <f t="shared" si="12"/>
        <v>20936498.309999999</v>
      </c>
      <c r="H27" s="611">
        <f t="shared" si="12"/>
        <v>26648021.682700001</v>
      </c>
      <c r="I27" s="611">
        <f t="shared" si="2"/>
        <v>-5711523.372700002</v>
      </c>
      <c r="J27" s="611">
        <f t="shared" si="3"/>
        <v>-0.21433198459185979</v>
      </c>
      <c r="K27" s="611">
        <f>SUM(K28:K48)</f>
        <v>26648021.682700001</v>
      </c>
      <c r="L27" s="100"/>
    </row>
    <row r="28" spans="1:12" x14ac:dyDescent="0.25">
      <c r="A28" s="695" t="s">
        <v>165</v>
      </c>
      <c r="B28" s="415"/>
      <c r="C28" s="733">
        <v>63</v>
      </c>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v>2698963.34</v>
      </c>
      <c r="D31" s="733">
        <v>3523188.2817999995</v>
      </c>
      <c r="E31" s="733">
        <v>3523188.2817999995</v>
      </c>
      <c r="F31" s="733">
        <v>559963.07999999996</v>
      </c>
      <c r="G31" s="733">
        <v>5202904.5999999996</v>
      </c>
      <c r="H31" s="733">
        <f>E31/12*12</f>
        <v>3523188.2817999995</v>
      </c>
      <c r="I31" s="408">
        <f t="shared" si="13"/>
        <v>1679716.3182000001</v>
      </c>
      <c r="J31" s="408">
        <f t="shared" si="14"/>
        <v>0.47676030454490265</v>
      </c>
      <c r="K31" s="735">
        <f>E31</f>
        <v>3523188.2817999995</v>
      </c>
      <c r="L31" s="100"/>
    </row>
    <row r="32" spans="1:12" x14ac:dyDescent="0.25">
      <c r="A32" s="695" t="s">
        <v>1139</v>
      </c>
      <c r="B32" s="415"/>
      <c r="C32" s="733"/>
      <c r="D32" s="733"/>
      <c r="E32" s="733">
        <v>0</v>
      </c>
      <c r="F32" s="733"/>
      <c r="G32" s="733"/>
      <c r="H32" s="733"/>
      <c r="I32" s="408">
        <f t="shared" si="13"/>
        <v>0</v>
      </c>
      <c r="J32" s="408" t="str">
        <f t="shared" si="14"/>
        <v/>
      </c>
      <c r="K32" s="735"/>
      <c r="L32" s="100"/>
    </row>
    <row r="33" spans="1:12" x14ac:dyDescent="0.25">
      <c r="A33" s="695" t="s">
        <v>1140</v>
      </c>
      <c r="B33" s="415"/>
      <c r="C33" s="733">
        <v>6685882.1399999997</v>
      </c>
      <c r="D33" s="733">
        <v>1045798.4008999999</v>
      </c>
      <c r="E33" s="733">
        <v>1045798.4008999999</v>
      </c>
      <c r="F33" s="733">
        <v>-309422.61</v>
      </c>
      <c r="G33" s="733">
        <v>2896893.16</v>
      </c>
      <c r="H33" s="733">
        <f>E33/12*12</f>
        <v>1045798.4008999999</v>
      </c>
      <c r="I33" s="408">
        <f t="shared" si="13"/>
        <v>1851094.7591000004</v>
      </c>
      <c r="J33" s="408">
        <f t="shared" si="14"/>
        <v>1.7700302061152258</v>
      </c>
      <c r="K33" s="735">
        <f>E33</f>
        <v>1045798.4008999999</v>
      </c>
      <c r="L33" s="100"/>
    </row>
    <row r="34" spans="1:12" x14ac:dyDescent="0.25">
      <c r="A34" s="695" t="s">
        <v>1141</v>
      </c>
      <c r="B34" s="415"/>
      <c r="C34" s="733"/>
      <c r="D34" s="733"/>
      <c r="E34" s="733">
        <v>0</v>
      </c>
      <c r="F34" s="733"/>
      <c r="G34" s="733"/>
      <c r="H34" s="733"/>
      <c r="I34" s="408">
        <f t="shared" si="13"/>
        <v>0</v>
      </c>
      <c r="J34" s="408" t="str">
        <f t="shared" si="14"/>
        <v/>
      </c>
      <c r="K34" s="735"/>
      <c r="L34" s="100"/>
    </row>
    <row r="35" spans="1:12" x14ac:dyDescent="0.25">
      <c r="A35" s="695" t="s">
        <v>1142</v>
      </c>
      <c r="B35" s="415"/>
      <c r="C35" s="733"/>
      <c r="D35" s="733"/>
      <c r="E35" s="733">
        <v>0</v>
      </c>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v>0</v>
      </c>
      <c r="F36" s="733"/>
      <c r="G36" s="733"/>
      <c r="H36" s="733"/>
      <c r="I36" s="408">
        <f t="shared" si="15"/>
        <v>0</v>
      </c>
      <c r="J36" s="408" t="str">
        <f t="shared" si="16"/>
        <v/>
      </c>
      <c r="K36" s="735"/>
      <c r="L36" s="100"/>
    </row>
    <row r="37" spans="1:12" x14ac:dyDescent="0.25">
      <c r="A37" s="695" t="s">
        <v>1004</v>
      </c>
      <c r="B37" s="415"/>
      <c r="C37" s="733"/>
      <c r="D37" s="733"/>
      <c r="E37" s="733">
        <v>0</v>
      </c>
      <c r="F37" s="733"/>
      <c r="G37" s="733"/>
      <c r="H37" s="733"/>
      <c r="I37" s="408">
        <f t="shared" si="15"/>
        <v>0</v>
      </c>
      <c r="J37" s="408" t="str">
        <f t="shared" si="16"/>
        <v/>
      </c>
      <c r="K37" s="735"/>
      <c r="L37" s="100"/>
    </row>
    <row r="38" spans="1:12" x14ac:dyDescent="0.25">
      <c r="A38" s="695" t="s">
        <v>1144</v>
      </c>
      <c r="B38" s="415"/>
      <c r="C38" s="733"/>
      <c r="D38" s="733"/>
      <c r="E38" s="733">
        <v>0</v>
      </c>
      <c r="F38" s="733"/>
      <c r="G38" s="733"/>
      <c r="H38" s="733"/>
      <c r="I38" s="408">
        <f t="shared" si="15"/>
        <v>0</v>
      </c>
      <c r="J38" s="408" t="str">
        <f t="shared" si="16"/>
        <v/>
      </c>
      <c r="K38" s="735"/>
      <c r="L38" s="100"/>
    </row>
    <row r="39" spans="1:12" x14ac:dyDescent="0.25">
      <c r="A39" s="695" t="s">
        <v>1145</v>
      </c>
      <c r="B39" s="415"/>
      <c r="C39" s="733"/>
      <c r="D39" s="733"/>
      <c r="E39" s="733">
        <v>0</v>
      </c>
      <c r="F39" s="733"/>
      <c r="G39" s="733"/>
      <c r="H39" s="733"/>
      <c r="I39" s="408">
        <f t="shared" si="15"/>
        <v>0</v>
      </c>
      <c r="J39" s="408" t="str">
        <f t="shared" si="16"/>
        <v/>
      </c>
      <c r="K39" s="735"/>
      <c r="L39" s="100"/>
    </row>
    <row r="40" spans="1:12" x14ac:dyDescent="0.25">
      <c r="A40" s="695" t="s">
        <v>1146</v>
      </c>
      <c r="B40" s="415"/>
      <c r="C40" s="733"/>
      <c r="D40" s="733"/>
      <c r="E40" s="733">
        <v>0</v>
      </c>
      <c r="F40" s="733"/>
      <c r="G40" s="733"/>
      <c r="H40" s="733"/>
      <c r="I40" s="408">
        <f t="shared" si="15"/>
        <v>0</v>
      </c>
      <c r="J40" s="408" t="str">
        <f t="shared" si="16"/>
        <v/>
      </c>
      <c r="K40" s="735"/>
      <c r="L40" s="100"/>
    </row>
    <row r="41" spans="1:12" x14ac:dyDescent="0.25">
      <c r="A41" s="695" t="s">
        <v>164</v>
      </c>
      <c r="B41" s="415"/>
      <c r="C41" s="733">
        <v>28731129.23</v>
      </c>
      <c r="D41" s="733">
        <v>10974000</v>
      </c>
      <c r="E41" s="733">
        <v>10974000</v>
      </c>
      <c r="F41" s="733">
        <v>301022.38</v>
      </c>
      <c r="G41" s="733">
        <v>15085667.890000001</v>
      </c>
      <c r="H41" s="733">
        <f>E41/12*12</f>
        <v>10974000</v>
      </c>
      <c r="I41" s="408">
        <f t="shared" si="2"/>
        <v>4111667.8900000006</v>
      </c>
      <c r="J41" s="408">
        <f t="shared" si="3"/>
        <v>0.37467358210315294</v>
      </c>
      <c r="K41" s="735">
        <f>E41</f>
        <v>10974000</v>
      </c>
      <c r="L41" s="100"/>
    </row>
    <row r="42" spans="1:12" x14ac:dyDescent="0.25">
      <c r="A42" s="695" t="s">
        <v>1147</v>
      </c>
      <c r="B42" s="415"/>
      <c r="C42" s="733"/>
      <c r="D42" s="733"/>
      <c r="E42" s="733">
        <v>0</v>
      </c>
      <c r="F42" s="733"/>
      <c r="G42" s="733"/>
      <c r="H42" s="733"/>
      <c r="I42" s="408">
        <f t="shared" si="2"/>
        <v>0</v>
      </c>
      <c r="J42" s="408" t="str">
        <f t="shared" si="3"/>
        <v/>
      </c>
      <c r="K42" s="735"/>
      <c r="L42" s="100"/>
    </row>
    <row r="43" spans="1:12" x14ac:dyDescent="0.25">
      <c r="A43" s="695" t="s">
        <v>1148</v>
      </c>
      <c r="B43" s="415"/>
      <c r="C43" s="733"/>
      <c r="D43" s="733"/>
      <c r="E43" s="733">
        <v>0</v>
      </c>
      <c r="F43" s="733"/>
      <c r="G43" s="733"/>
      <c r="H43" s="733"/>
      <c r="I43" s="408">
        <f t="shared" si="2"/>
        <v>0</v>
      </c>
      <c r="J43" s="408" t="str">
        <f t="shared" si="3"/>
        <v/>
      </c>
      <c r="K43" s="735"/>
      <c r="L43" s="100"/>
    </row>
    <row r="44" spans="1:12" x14ac:dyDescent="0.25">
      <c r="A44" s="695" t="s">
        <v>1149</v>
      </c>
      <c r="B44" s="415"/>
      <c r="C44" s="733">
        <v>713369.28</v>
      </c>
      <c r="D44" s="733">
        <v>10700000</v>
      </c>
      <c r="E44" s="733">
        <v>11105035</v>
      </c>
      <c r="F44" s="733">
        <v>263358.96000000002</v>
      </c>
      <c r="G44" s="733">
        <v>-2248967.34</v>
      </c>
      <c r="H44" s="733">
        <f>E44/12*12</f>
        <v>11105035</v>
      </c>
      <c r="I44" s="408">
        <f t="shared" si="2"/>
        <v>-13354002.34</v>
      </c>
      <c r="J44" s="408">
        <f t="shared" si="3"/>
        <v>-1.2025178074630112</v>
      </c>
      <c r="K44" s="735">
        <f>E44</f>
        <v>11105035</v>
      </c>
      <c r="L44" s="100"/>
    </row>
    <row r="45" spans="1:12" x14ac:dyDescent="0.25">
      <c r="A45" s="695" t="s">
        <v>1150</v>
      </c>
      <c r="B45" s="415"/>
      <c r="C45" s="733">
        <v>179.06</v>
      </c>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693112.67</v>
      </c>
      <c r="D49" s="611">
        <f t="shared" ref="D49:K49" si="17">SUM(D50:D54)</f>
        <v>11002054.78726843</v>
      </c>
      <c r="E49" s="611">
        <f t="shared" si="17"/>
        <v>11002054.78726843</v>
      </c>
      <c r="F49" s="611">
        <f t="shared" si="17"/>
        <v>15483.11</v>
      </c>
      <c r="G49" s="611">
        <f t="shared" si="17"/>
        <v>375847.94</v>
      </c>
      <c r="H49" s="611">
        <f t="shared" si="17"/>
        <v>11002054.78726843</v>
      </c>
      <c r="I49" s="611">
        <f t="shared" ref="I49:I54" si="18">G49-H49</f>
        <v>-10626206.847268431</v>
      </c>
      <c r="J49" s="611">
        <f t="shared" ref="J49:J54" si="19">IF(I49=0,"",I49/H49)</f>
        <v>-0.9658383868043513</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v>527.86</v>
      </c>
      <c r="D52" s="733"/>
      <c r="E52" s="733"/>
      <c r="F52" s="733"/>
      <c r="G52" s="733"/>
      <c r="H52" s="733"/>
      <c r="I52" s="408">
        <f t="shared" si="18"/>
        <v>0</v>
      </c>
      <c r="J52" s="408" t="str">
        <f t="shared" si="19"/>
        <v/>
      </c>
      <c r="K52" s="735"/>
      <c r="L52" s="100"/>
    </row>
    <row r="53" spans="1:12" x14ac:dyDescent="0.25">
      <c r="A53" s="695" t="s">
        <v>1157</v>
      </c>
      <c r="B53" s="415"/>
      <c r="C53" s="733">
        <v>692584.81</v>
      </c>
      <c r="D53" s="733">
        <v>11002054.78726843</v>
      </c>
      <c r="E53" s="733">
        <v>11002054.78726843</v>
      </c>
      <c r="F53" s="733">
        <v>15483.11</v>
      </c>
      <c r="G53" s="733">
        <v>375847.94</v>
      </c>
      <c r="H53" s="733">
        <f>E53/12*12</f>
        <v>11002054.78726843</v>
      </c>
      <c r="I53" s="408">
        <f t="shared" si="18"/>
        <v>-10626206.847268431</v>
      </c>
      <c r="J53" s="408">
        <f t="shared" si="19"/>
        <v>-0.9658383868043513</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15024987.17</v>
      </c>
      <c r="D55" s="611">
        <f t="shared" ref="D55:K55" si="20">SUM(D56:D63)</f>
        <v>3768735.4638999999</v>
      </c>
      <c r="E55" s="611">
        <f t="shared" si="20"/>
        <v>3768735.4638999999</v>
      </c>
      <c r="F55" s="611">
        <f t="shared" si="20"/>
        <v>774337.23</v>
      </c>
      <c r="G55" s="611">
        <f t="shared" si="20"/>
        <v>29658465.75</v>
      </c>
      <c r="H55" s="611">
        <f t="shared" si="20"/>
        <v>3768735.4638999999</v>
      </c>
      <c r="I55" s="611">
        <f t="shared" si="2"/>
        <v>25889730.2861</v>
      </c>
      <c r="J55" s="611">
        <f t="shared" si="3"/>
        <v>6.8696066715461468</v>
      </c>
      <c r="K55" s="614">
        <f t="shared" si="20"/>
        <v>3768735.4638999999</v>
      </c>
      <c r="L55" s="100"/>
    </row>
    <row r="56" spans="1:12" x14ac:dyDescent="0.25">
      <c r="A56" s="695" t="s">
        <v>167</v>
      </c>
      <c r="B56" s="415"/>
      <c r="C56" s="733">
        <v>-814.29</v>
      </c>
      <c r="D56" s="733"/>
      <c r="E56" s="733"/>
      <c r="F56" s="733">
        <v>248748.43</v>
      </c>
      <c r="G56" s="733">
        <v>1192000</v>
      </c>
      <c r="H56" s="733"/>
      <c r="I56" s="408">
        <f t="shared" si="2"/>
        <v>1192000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v>216610.23</v>
      </c>
      <c r="D60" s="733">
        <v>334269.52130000002</v>
      </c>
      <c r="E60" s="733">
        <v>334269.52130000002</v>
      </c>
      <c r="F60" s="733">
        <v>51715.71</v>
      </c>
      <c r="G60" s="733">
        <v>9212138.8299999982</v>
      </c>
      <c r="H60" s="733">
        <f>E60/12*12</f>
        <v>334269.52130000002</v>
      </c>
      <c r="I60" s="408">
        <f t="shared" si="2"/>
        <v>8877869.308699999</v>
      </c>
      <c r="J60" s="408">
        <f t="shared" si="3"/>
        <v>26.559015234692289</v>
      </c>
      <c r="K60" s="735">
        <f>E60</f>
        <v>334269.52130000002</v>
      </c>
      <c r="L60" s="100"/>
    </row>
    <row r="61" spans="1:12" x14ac:dyDescent="0.25">
      <c r="A61" s="695" t="s">
        <v>1163</v>
      </c>
      <c r="B61" s="415"/>
      <c r="C61" s="733"/>
      <c r="D61" s="733">
        <v>0</v>
      </c>
      <c r="E61" s="733">
        <v>0</v>
      </c>
      <c r="F61" s="733"/>
      <c r="G61" s="733"/>
      <c r="H61" s="733"/>
      <c r="I61" s="408">
        <f>G61-H61</f>
        <v>0</v>
      </c>
      <c r="J61" s="408" t="str">
        <f>IF(I61=0,"",I61/H61)</f>
        <v/>
      </c>
      <c r="K61" s="735"/>
      <c r="L61" s="100"/>
    </row>
    <row r="62" spans="1:12" ht="22.5" x14ac:dyDescent="0.25">
      <c r="A62" s="695" t="s">
        <v>1181</v>
      </c>
      <c r="B62" s="415"/>
      <c r="C62" s="733">
        <v>14809191.23</v>
      </c>
      <c r="D62" s="733">
        <v>3434465.9425999997</v>
      </c>
      <c r="E62" s="733">
        <v>3434465.9425999997</v>
      </c>
      <c r="F62" s="733">
        <v>473873.09</v>
      </c>
      <c r="G62" s="733">
        <v>19254326.920000002</v>
      </c>
      <c r="H62" s="733">
        <f>E62/12*12</f>
        <v>3434465.9425999997</v>
      </c>
      <c r="I62" s="408">
        <f>G62-H62</f>
        <v>15819860.977400001</v>
      </c>
      <c r="J62" s="408">
        <f>IF(I62=0,"",I62/H62)</f>
        <v>4.606206974183551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100718852.83</v>
      </c>
      <c r="D64" s="611">
        <f t="shared" si="21"/>
        <v>328237277.54334736</v>
      </c>
      <c r="E64" s="611">
        <f t="shared" si="21"/>
        <v>379735932.54334736</v>
      </c>
      <c r="F64" s="611">
        <f t="shared" si="21"/>
        <v>17080416.190000001</v>
      </c>
      <c r="G64" s="611">
        <f t="shared" si="21"/>
        <v>97339255.700000003</v>
      </c>
      <c r="H64" s="611">
        <f t="shared" si="21"/>
        <v>379735932.54334736</v>
      </c>
      <c r="I64" s="611">
        <f>G64-H64</f>
        <v>-282396676.84334737</v>
      </c>
      <c r="J64" s="611">
        <f>IF(I64=0,"",I64/H64)</f>
        <v>-0.74366593372385537</v>
      </c>
      <c r="K64" s="614">
        <f>SUM(K65:K66)</f>
        <v>379735932.54334736</v>
      </c>
      <c r="L64" s="100"/>
    </row>
    <row r="65" spans="1:12" x14ac:dyDescent="0.25">
      <c r="A65" s="695" t="s">
        <v>711</v>
      </c>
      <c r="B65" s="415"/>
      <c r="C65" s="733">
        <v>100718852.83</v>
      </c>
      <c r="D65" s="733">
        <v>328237277.54334736</v>
      </c>
      <c r="E65" s="733">
        <v>379735932.54334736</v>
      </c>
      <c r="F65" s="733">
        <v>17080416.190000001</v>
      </c>
      <c r="G65" s="733">
        <v>97339255.700000003</v>
      </c>
      <c r="H65" s="733">
        <f>E65/12*12</f>
        <v>379735932.54334736</v>
      </c>
      <c r="I65" s="408">
        <f>G65-H65</f>
        <v>-282396676.84334737</v>
      </c>
      <c r="J65" s="408">
        <f>IF(I65=0,"",I65/H65)</f>
        <v>-0.74366593372385537</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273241464.56</v>
      </c>
      <c r="D75" s="605">
        <f t="shared" si="23"/>
        <v>106923434.37381519</v>
      </c>
      <c r="E75" s="605">
        <f t="shared" si="23"/>
        <v>109927537.37381519</v>
      </c>
      <c r="F75" s="605">
        <f t="shared" si="23"/>
        <v>143233326.62</v>
      </c>
      <c r="G75" s="605">
        <f t="shared" si="23"/>
        <v>357713398.88</v>
      </c>
      <c r="H75" s="605">
        <f t="shared" si="23"/>
        <v>109927537.37381519</v>
      </c>
      <c r="I75" s="605">
        <f t="shared" si="2"/>
        <v>247785861.50618482</v>
      </c>
      <c r="J75" s="605">
        <f t="shared" si="3"/>
        <v>2.2540836211364774</v>
      </c>
      <c r="K75" s="606">
        <f>K76+K87+K92</f>
        <v>109927537.37381519</v>
      </c>
      <c r="L75" s="100"/>
    </row>
    <row r="76" spans="1:12" x14ac:dyDescent="0.25">
      <c r="A76" s="607" t="s">
        <v>114</v>
      </c>
      <c r="B76" s="417"/>
      <c r="C76" s="611">
        <f t="shared" ref="C76:H76" si="24">SUM(C77:C86)</f>
        <v>33595749.049999997</v>
      </c>
      <c r="D76" s="611">
        <f t="shared" si="24"/>
        <v>41022287.158399999</v>
      </c>
      <c r="E76" s="611">
        <f t="shared" si="24"/>
        <v>44026390.158399999</v>
      </c>
      <c r="F76" s="611">
        <f t="shared" si="24"/>
        <v>112207541</v>
      </c>
      <c r="G76" s="611">
        <f t="shared" si="24"/>
        <v>122765713.86</v>
      </c>
      <c r="H76" s="611">
        <f t="shared" si="24"/>
        <v>44026390.158399999</v>
      </c>
      <c r="I76" s="611">
        <f t="shared" si="2"/>
        <v>78739323.7016</v>
      </c>
      <c r="J76" s="611">
        <f t="shared" si="3"/>
        <v>1.7884574097105927</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v>13.78</v>
      </c>
      <c r="D78" s="733"/>
      <c r="E78" s="733"/>
      <c r="F78" s="733"/>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v>23.95</v>
      </c>
      <c r="D81" s="733"/>
      <c r="E81" s="733">
        <v>4000000</v>
      </c>
      <c r="F81" s="733">
        <v>1222954.31</v>
      </c>
      <c r="G81" s="733">
        <v>2687682.49</v>
      </c>
      <c r="H81" s="733">
        <f>E81/12*12</f>
        <v>4000000</v>
      </c>
      <c r="I81" s="408">
        <f>G81-H81</f>
        <v>-1312317.5099999998</v>
      </c>
      <c r="J81" s="408">
        <f>IF(I81=0,"",I81/H81)</f>
        <v>-0.32807937749999994</v>
      </c>
      <c r="K81" s="735">
        <f>E81</f>
        <v>4000000</v>
      </c>
      <c r="L81" s="100"/>
    </row>
    <row r="82" spans="1:12" x14ac:dyDescent="0.25">
      <c r="A82" s="695" t="s">
        <v>1176</v>
      </c>
      <c r="B82" s="417"/>
      <c r="C82" s="733"/>
      <c r="D82" s="733"/>
      <c r="E82" s="733">
        <v>0</v>
      </c>
      <c r="F82" s="733"/>
      <c r="G82" s="733"/>
      <c r="H82" s="733"/>
      <c r="I82" s="408">
        <f>G82-H82</f>
        <v>0</v>
      </c>
      <c r="J82" s="408" t="str">
        <f>IF(I82=0,"",I82/H82)</f>
        <v/>
      </c>
      <c r="K82" s="735"/>
      <c r="L82" s="100"/>
    </row>
    <row r="83" spans="1:12" ht="22.5" x14ac:dyDescent="0.25">
      <c r="A83" s="695" t="s">
        <v>1177</v>
      </c>
      <c r="B83" s="417"/>
      <c r="C83" s="733">
        <v>33595711.32</v>
      </c>
      <c r="D83" s="733">
        <v>41022287.158399999</v>
      </c>
      <c r="E83" s="733">
        <v>40026390.158399999</v>
      </c>
      <c r="F83" s="733">
        <v>110984586.69</v>
      </c>
      <c r="G83" s="733">
        <v>119778031.37</v>
      </c>
      <c r="H83" s="733">
        <f>E83/12*12</f>
        <v>40026390.158399999</v>
      </c>
      <c r="I83" s="408">
        <f>G83-H83</f>
        <v>79751641.211600006</v>
      </c>
      <c r="J83" s="408">
        <f>IF(I83=0,"",I83/H83)</f>
        <v>1.9924764860381297</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239601710.63</v>
      </c>
      <c r="D87" s="611">
        <f t="shared" si="25"/>
        <v>65792799.755315199</v>
      </c>
      <c r="E87" s="611">
        <f t="shared" si="25"/>
        <v>65792799.755315199</v>
      </c>
      <c r="F87" s="611">
        <f t="shared" si="25"/>
        <v>31012535.620000001</v>
      </c>
      <c r="G87" s="611">
        <f t="shared" si="25"/>
        <v>234865635.01999998</v>
      </c>
      <c r="H87" s="611">
        <f t="shared" si="25"/>
        <v>65792799.755315199</v>
      </c>
      <c r="I87" s="611">
        <f t="shared" si="2"/>
        <v>169072835.2646848</v>
      </c>
      <c r="J87" s="611">
        <f t="shared" si="3"/>
        <v>2.5697771776466456</v>
      </c>
      <c r="K87" s="614">
        <f>SUM(K88:K91)</f>
        <v>65792799.755315199</v>
      </c>
      <c r="L87" s="100"/>
    </row>
    <row r="88" spans="1:12" x14ac:dyDescent="0.25">
      <c r="A88" s="695" t="s">
        <v>1183</v>
      </c>
      <c r="B88" s="417"/>
      <c r="C88" s="733">
        <v>135535047.31</v>
      </c>
      <c r="D88" s="733">
        <v>65792799.755315199</v>
      </c>
      <c r="E88" s="733">
        <v>65792799.755315199</v>
      </c>
      <c r="F88" s="733">
        <v>31330558.190000001</v>
      </c>
      <c r="G88" s="733">
        <v>178132495.25999999</v>
      </c>
      <c r="H88" s="733">
        <f>E88/12*12</f>
        <v>65792799.755315199</v>
      </c>
      <c r="I88" s="408">
        <f t="shared" si="2"/>
        <v>112339695.50468479</v>
      </c>
      <c r="J88" s="408">
        <f t="shared" si="3"/>
        <v>1.7074770479821268</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v>104066663.31999999</v>
      </c>
      <c r="D90" s="733"/>
      <c r="E90" s="733"/>
      <c r="F90" s="733">
        <v>-318022.57</v>
      </c>
      <c r="G90" s="733">
        <v>56733139.759999998</v>
      </c>
      <c r="H90" s="733"/>
      <c r="I90" s="408">
        <f t="shared" si="2"/>
        <v>56733139.759999998</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44004.88</v>
      </c>
      <c r="D92" s="611">
        <f t="shared" ref="D92:K92" si="26">SUM(D93:D98)</f>
        <v>108347.4601</v>
      </c>
      <c r="E92" s="611">
        <f t="shared" si="26"/>
        <v>108347.4601</v>
      </c>
      <c r="F92" s="611">
        <f t="shared" si="26"/>
        <v>13250</v>
      </c>
      <c r="G92" s="611">
        <f t="shared" si="26"/>
        <v>82050</v>
      </c>
      <c r="H92" s="611">
        <f t="shared" si="26"/>
        <v>108347.4601</v>
      </c>
      <c r="I92" s="611">
        <f t="shared" si="2"/>
        <v>-26297.460099999997</v>
      </c>
      <c r="J92" s="611">
        <f t="shared" si="3"/>
        <v>-0.24271413539116268</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v>44004.88</v>
      </c>
      <c r="D97" s="733">
        <v>108347.4601</v>
      </c>
      <c r="E97" s="733">
        <v>108347.4601</v>
      </c>
      <c r="F97" s="733">
        <v>13250</v>
      </c>
      <c r="G97" s="733">
        <v>82050</v>
      </c>
      <c r="H97" s="733">
        <f>E97/12*12</f>
        <v>108347.4601</v>
      </c>
      <c r="I97" s="408">
        <f t="shared" si="2"/>
        <v>-26297.460099999997</v>
      </c>
      <c r="J97" s="408">
        <f t="shared" si="3"/>
        <v>-0.24271413539116268</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3670460355.04</v>
      </c>
      <c r="D99" s="605">
        <f t="shared" ref="D99:I99" si="27">D100+D104+D108+D113</f>
        <v>4331953791.0175152</v>
      </c>
      <c r="E99" s="605">
        <f t="shared" si="27"/>
        <v>4331577947.017518</v>
      </c>
      <c r="F99" s="605">
        <f t="shared" si="27"/>
        <v>306470460.82999998</v>
      </c>
      <c r="G99" s="605">
        <f t="shared" si="27"/>
        <v>3950080619.5799999</v>
      </c>
      <c r="H99" s="605">
        <f t="shared" si="27"/>
        <v>4331577947.017518</v>
      </c>
      <c r="I99" s="605">
        <f t="shared" si="27"/>
        <v>-381497327.43751824</v>
      </c>
      <c r="J99" s="605">
        <f t="shared" si="3"/>
        <v>-8.8073522421591402E-2</v>
      </c>
      <c r="K99" s="606">
        <f>K100+K104+K108+K113</f>
        <v>4331577947.017518</v>
      </c>
      <c r="L99" s="100"/>
    </row>
    <row r="100" spans="1:12" x14ac:dyDescent="0.25">
      <c r="A100" s="607" t="s">
        <v>1191</v>
      </c>
      <c r="B100" s="417"/>
      <c r="C100" s="611">
        <f>SUM(C101:C103)</f>
        <v>2209984732.46</v>
      </c>
      <c r="D100" s="611">
        <f t="shared" ref="D100:K100" si="28">SUM(D101:D103)</f>
        <v>2655002808.9206858</v>
      </c>
      <c r="E100" s="611">
        <f t="shared" si="28"/>
        <v>2655002808.9206858</v>
      </c>
      <c r="F100" s="611">
        <f t="shared" si="28"/>
        <v>186234967.34999999</v>
      </c>
      <c r="G100" s="611">
        <f t="shared" si="28"/>
        <v>2334537372.1300001</v>
      </c>
      <c r="H100" s="611">
        <f t="shared" si="28"/>
        <v>2655002808.9206858</v>
      </c>
      <c r="I100" s="611">
        <f t="shared" si="2"/>
        <v>-320465436.79068565</v>
      </c>
      <c r="J100" s="611">
        <f t="shared" si="3"/>
        <v>-0.1207024850271106</v>
      </c>
      <c r="K100" s="614">
        <f t="shared" si="28"/>
        <v>2655002808.9206858</v>
      </c>
      <c r="L100" s="100"/>
    </row>
    <row r="101" spans="1:12" x14ac:dyDescent="0.25">
      <c r="A101" s="695" t="s">
        <v>1192</v>
      </c>
      <c r="B101" s="417"/>
      <c r="C101" s="733">
        <v>2209067332.3899999</v>
      </c>
      <c r="D101" s="733">
        <v>2635365105.6563859</v>
      </c>
      <c r="E101" s="733">
        <v>2635365105.6563859</v>
      </c>
      <c r="F101" s="733">
        <v>186234967.34999999</v>
      </c>
      <c r="G101" s="733">
        <v>2334537372.1300001</v>
      </c>
      <c r="H101" s="733">
        <f t="shared" ref="H101:H102" si="29">E101/12*12</f>
        <v>2635365105.6563859</v>
      </c>
      <c r="I101" s="408">
        <f t="shared" si="2"/>
        <v>-300827733.52638578</v>
      </c>
      <c r="J101" s="408">
        <f t="shared" si="3"/>
        <v>-0.11415030611155456</v>
      </c>
      <c r="K101" s="735">
        <f>E101</f>
        <v>2635365105.6563859</v>
      </c>
      <c r="L101" s="100"/>
    </row>
    <row r="102" spans="1:12" x14ac:dyDescent="0.25">
      <c r="A102" s="695" t="s">
        <v>1193</v>
      </c>
      <c r="B102" s="417"/>
      <c r="C102" s="733">
        <v>917400.07</v>
      </c>
      <c r="D102" s="733">
        <v>19637703.2643</v>
      </c>
      <c r="E102" s="733">
        <v>19637703.2643</v>
      </c>
      <c r="F102" s="733"/>
      <c r="G102" s="733"/>
      <c r="H102" s="733">
        <f t="shared" si="29"/>
        <v>19637703.2643</v>
      </c>
      <c r="I102" s="408">
        <f>G102-H102</f>
        <v>-19637703.2643</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1060295199.26</v>
      </c>
      <c r="D104" s="611">
        <f t="shared" ref="D104:K104" si="30">SUM(D105:D107)</f>
        <v>1253549994.0011687</v>
      </c>
      <c r="E104" s="611">
        <f t="shared" si="30"/>
        <v>1253174150.0011718</v>
      </c>
      <c r="F104" s="611">
        <f t="shared" si="30"/>
        <v>90524059.090000004</v>
      </c>
      <c r="G104" s="611">
        <f t="shared" si="30"/>
        <v>1172058172.0599999</v>
      </c>
      <c r="H104" s="611">
        <f t="shared" si="30"/>
        <v>1253174150.0011718</v>
      </c>
      <c r="I104" s="611">
        <f t="shared" si="2"/>
        <v>-81115977.941171885</v>
      </c>
      <c r="J104" s="611">
        <f t="shared" si="3"/>
        <v>-6.4728416191074514E-2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v>1060295199.26</v>
      </c>
      <c r="D106" s="733">
        <v>1253549994.0011687</v>
      </c>
      <c r="E106" s="733">
        <v>1253174150.0011718</v>
      </c>
      <c r="F106" s="733">
        <v>90524059.090000004</v>
      </c>
      <c r="G106" s="733">
        <v>1172058172.0599999</v>
      </c>
      <c r="H106" s="733">
        <f>E106/12*12</f>
        <v>1253174150.0011718</v>
      </c>
      <c r="I106" s="408">
        <f>G106-H106</f>
        <v>-81115977.941171885</v>
      </c>
      <c r="J106" s="408">
        <f>IF(I106=0,"",I106/H106)</f>
        <v>-6.4728416191074514E-2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254352471.68000001</v>
      </c>
      <c r="D108" s="611">
        <f t="shared" ref="D108:K108" si="31">SUM(D109:D112)</f>
        <v>173542219.90182328</v>
      </c>
      <c r="E108" s="611">
        <f t="shared" si="31"/>
        <v>173542219.90182328</v>
      </c>
      <c r="F108" s="611">
        <f t="shared" si="31"/>
        <v>21419040.140000001</v>
      </c>
      <c r="G108" s="611">
        <f t="shared" si="31"/>
        <v>290245971.06</v>
      </c>
      <c r="H108" s="611">
        <f t="shared" si="31"/>
        <v>173542219.90182328</v>
      </c>
      <c r="I108" s="611">
        <f t="shared" si="2"/>
        <v>116703751.15817672</v>
      </c>
      <c r="J108" s="611">
        <f t="shared" si="3"/>
        <v>0.67248045590403671</v>
      </c>
      <c r="K108" s="614">
        <f t="shared" si="31"/>
        <v>173542219.90182328</v>
      </c>
      <c r="L108" s="100"/>
    </row>
    <row r="109" spans="1:12" x14ac:dyDescent="0.25">
      <c r="A109" s="695" t="s">
        <v>174</v>
      </c>
      <c r="B109" s="417"/>
      <c r="C109" s="733">
        <v>7</v>
      </c>
      <c r="D109" s="733"/>
      <c r="E109" s="733"/>
      <c r="F109" s="733"/>
      <c r="G109" s="733"/>
      <c r="H109" s="733"/>
      <c r="I109" s="408">
        <f t="shared" si="2"/>
        <v>0</v>
      </c>
      <c r="J109" s="408" t="str">
        <f t="shared" si="3"/>
        <v/>
      </c>
      <c r="K109" s="735"/>
      <c r="L109" s="100"/>
    </row>
    <row r="110" spans="1:12" x14ac:dyDescent="0.25">
      <c r="A110" s="695" t="s">
        <v>172</v>
      </c>
      <c r="B110" s="417"/>
      <c r="C110" s="733">
        <v>254350145.78</v>
      </c>
      <c r="D110" s="733">
        <v>173542219.90182328</v>
      </c>
      <c r="E110" s="733">
        <v>173542219.90182328</v>
      </c>
      <c r="F110" s="733">
        <v>21419040.140000001</v>
      </c>
      <c r="G110" s="733">
        <v>290245971.06</v>
      </c>
      <c r="H110" s="733">
        <f>E110/12*12</f>
        <v>173542219.90182328</v>
      </c>
      <c r="I110" s="408">
        <f t="shared" si="2"/>
        <v>116703751.15817672</v>
      </c>
      <c r="J110" s="408">
        <f t="shared" si="3"/>
        <v>0.67248045590403671</v>
      </c>
      <c r="K110" s="735">
        <f>E110</f>
        <v>173542219.90182328</v>
      </c>
      <c r="L110" s="100"/>
    </row>
    <row r="111" spans="1:12" x14ac:dyDescent="0.25">
      <c r="A111" s="695" t="s">
        <v>173</v>
      </c>
      <c r="B111" s="417"/>
      <c r="C111" s="733">
        <v>2318.9</v>
      </c>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145827951.64000002</v>
      </c>
      <c r="D113" s="611">
        <f t="shared" si="32"/>
        <v>249858768.1938374</v>
      </c>
      <c r="E113" s="611">
        <f t="shared" si="32"/>
        <v>249858768.1938374</v>
      </c>
      <c r="F113" s="611">
        <f t="shared" si="32"/>
        <v>8292394.25</v>
      </c>
      <c r="G113" s="611">
        <f t="shared" si="32"/>
        <v>153239104.32999998</v>
      </c>
      <c r="H113" s="611">
        <f t="shared" si="32"/>
        <v>249858768.1938374</v>
      </c>
      <c r="I113" s="611">
        <f t="shared" si="2"/>
        <v>-96619663.863837421</v>
      </c>
      <c r="J113" s="611">
        <f t="shared" si="3"/>
        <v>-0.38669711118114958</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v>23816106.460000001</v>
      </c>
      <c r="D115" s="733">
        <v>249858768.1938374</v>
      </c>
      <c r="E115" s="733">
        <v>249858768.1938374</v>
      </c>
      <c r="F115" s="733">
        <v>-1262751.44</v>
      </c>
      <c r="G115" s="733">
        <v>37631234.340000004</v>
      </c>
      <c r="H115" s="733">
        <f>E115/12*12</f>
        <v>249858768.1938374</v>
      </c>
      <c r="I115" s="408">
        <f>G115-H115</f>
        <v>-212227533.8538374</v>
      </c>
      <c r="J115" s="408">
        <f>IF(I115=0,"",I115/H115)</f>
        <v>-0.84938997893879731</v>
      </c>
      <c r="K115" s="735">
        <f>E115</f>
        <v>249858768.1938374</v>
      </c>
      <c r="L115" s="100"/>
    </row>
    <row r="116" spans="1:12" x14ac:dyDescent="0.25">
      <c r="A116" s="695" t="s">
        <v>1200</v>
      </c>
      <c r="B116" s="417"/>
      <c r="C116" s="733">
        <v>122011845.18000001</v>
      </c>
      <c r="D116" s="733"/>
      <c r="E116" s="733"/>
      <c r="F116" s="733">
        <v>9555145.6899999995</v>
      </c>
      <c r="G116" s="733">
        <v>115607869.98999999</v>
      </c>
      <c r="H116" s="733"/>
      <c r="I116" s="408">
        <f t="shared" si="2"/>
        <v>115607869.98999999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32681201.210000001</v>
      </c>
      <c r="D118" s="611">
        <f t="shared" ref="D118:K118" si="33">SUM(D119:D124)</f>
        <v>63610900.686000004</v>
      </c>
      <c r="E118" s="611">
        <f t="shared" si="33"/>
        <v>63610900.686000004</v>
      </c>
      <c r="F118" s="611">
        <f t="shared" si="33"/>
        <v>1017355.4299999999</v>
      </c>
      <c r="G118" s="611">
        <f t="shared" si="33"/>
        <v>14253316.890000001</v>
      </c>
      <c r="H118" s="611">
        <f t="shared" si="33"/>
        <v>63610900.686000004</v>
      </c>
      <c r="I118" s="611">
        <f t="shared" si="2"/>
        <v>-49357583.796000004</v>
      </c>
      <c r="J118" s="611">
        <f t="shared" si="3"/>
        <v>-0.77592964827902544</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v>7386267.7300000004</v>
      </c>
      <c r="D120" s="733">
        <v>12490719.594900001</v>
      </c>
      <c r="E120" s="733">
        <v>12490719.594900001</v>
      </c>
      <c r="F120" s="733">
        <v>601831.21</v>
      </c>
      <c r="G120" s="733">
        <v>6454572.0700000003</v>
      </c>
      <c r="H120" s="733">
        <f t="shared" ref="H120:H121" si="34">E120/12*12</f>
        <v>12490719.594900001</v>
      </c>
      <c r="I120" s="408">
        <f t="shared" si="2"/>
        <v>-6036147.5249000005</v>
      </c>
      <c r="J120" s="408">
        <f t="shared" si="3"/>
        <v>-0.48325058288591943</v>
      </c>
      <c r="K120" s="735">
        <f t="shared" ref="K120:K121" si="35">E120</f>
        <v>12490719.594900001</v>
      </c>
      <c r="L120" s="100"/>
    </row>
    <row r="121" spans="1:12" x14ac:dyDescent="0.25">
      <c r="A121" s="607" t="s">
        <v>1202</v>
      </c>
      <c r="B121" s="417"/>
      <c r="C121" s="733">
        <v>4347825.95</v>
      </c>
      <c r="D121" s="733">
        <v>7663197.0931999991</v>
      </c>
      <c r="E121" s="733">
        <v>7663197.0931999991</v>
      </c>
      <c r="F121" s="733"/>
      <c r="G121" s="733">
        <v>850000</v>
      </c>
      <c r="H121" s="733">
        <f t="shared" si="34"/>
        <v>7663197.0931999991</v>
      </c>
      <c r="I121" s="408">
        <f>G121-H121</f>
        <v>-6813197.0931999991</v>
      </c>
      <c r="J121" s="408">
        <f>IF(I121=0,"",I121/H121)</f>
        <v>-0.88908023770467104</v>
      </c>
      <c r="K121" s="735">
        <f t="shared" si="35"/>
        <v>7663197.0931999991</v>
      </c>
      <c r="L121" s="100"/>
    </row>
    <row r="122" spans="1:12" x14ac:dyDescent="0.25">
      <c r="A122" s="607" t="s">
        <v>1203</v>
      </c>
      <c r="B122" s="417"/>
      <c r="C122" s="733">
        <v>103515.5</v>
      </c>
      <c r="D122" s="733"/>
      <c r="E122" s="733"/>
      <c r="F122" s="733">
        <v>30162.3</v>
      </c>
      <c r="G122" s="733">
        <v>243199.42</v>
      </c>
      <c r="H122" s="733"/>
      <c r="I122" s="408">
        <f t="shared" si="2"/>
        <v>243199.42</v>
      </c>
      <c r="J122" s="408" t="e">
        <f t="shared" si="3"/>
        <v>#DIV/0!</v>
      </c>
      <c r="K122" s="735"/>
      <c r="L122" s="100"/>
    </row>
    <row r="123" spans="1:12" x14ac:dyDescent="0.25">
      <c r="A123" s="607" t="s">
        <v>441</v>
      </c>
      <c r="B123" s="415"/>
      <c r="C123" s="733">
        <v>20843579.620000001</v>
      </c>
      <c r="D123" s="733">
        <v>43456983.997900009</v>
      </c>
      <c r="E123" s="733">
        <v>43456983.997900009</v>
      </c>
      <c r="F123" s="733">
        <v>385361.91999999998</v>
      </c>
      <c r="G123" s="733">
        <v>6705545.4000000004</v>
      </c>
      <c r="H123" s="733">
        <f>E123/12*12</f>
        <v>43456983.997900009</v>
      </c>
      <c r="I123" s="408">
        <f t="shared" si="2"/>
        <v>-36751438.597900011</v>
      </c>
      <c r="J123" s="408">
        <f t="shared" si="3"/>
        <v>-0.84569694481503743</v>
      </c>
      <c r="K123" s="735">
        <f>E123</f>
        <v>43456983.997900009</v>
      </c>
      <c r="L123" s="100"/>
    </row>
    <row r="124" spans="1:12" x14ac:dyDescent="0.25">
      <c r="A124" s="607" t="s">
        <v>176</v>
      </c>
      <c r="B124" s="415"/>
      <c r="C124" s="733">
        <v>12.41</v>
      </c>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6">C6+C26+C75+C99+C118</f>
        <v>5790044178.6999998</v>
      </c>
      <c r="D125" s="616">
        <f t="shared" si="36"/>
        <v>6444077682.8720617</v>
      </c>
      <c r="E125" s="616">
        <f t="shared" si="36"/>
        <v>6587607631.8720646</v>
      </c>
      <c r="F125" s="616">
        <f t="shared" si="36"/>
        <v>587555932.82999992</v>
      </c>
      <c r="G125" s="616">
        <f t="shared" si="36"/>
        <v>6160484336.46</v>
      </c>
      <c r="H125" s="616">
        <f t="shared" si="36"/>
        <v>6587607631.8720655</v>
      </c>
      <c r="I125" s="616">
        <f>G125-H125</f>
        <v>-427123295.41206551</v>
      </c>
      <c r="J125" s="616">
        <f>IF(I125=0,"",I125/H125)</f>
        <v>-6.4837391551003112E-2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7">A6</f>
        <v>Municipal governance and administration</v>
      </c>
      <c r="B128" s="620"/>
      <c r="C128" s="605">
        <f t="shared" ref="C128:H128" si="38">C129+C132+C146</f>
        <v>1041450363.4499996</v>
      </c>
      <c r="D128" s="605">
        <f t="shared" si="38"/>
        <v>1354264744.2416518</v>
      </c>
      <c r="E128" s="605">
        <f t="shared" si="38"/>
        <v>1405319174.0330372</v>
      </c>
      <c r="F128" s="605">
        <f t="shared" si="38"/>
        <v>455985086.49999958</v>
      </c>
      <c r="G128" s="605">
        <f t="shared" si="38"/>
        <v>1372514553.0499997</v>
      </c>
      <c r="H128" s="605">
        <f t="shared" si="38"/>
        <v>1405319174.0330372</v>
      </c>
      <c r="I128" s="605">
        <f t="shared" ref="I128:I244" si="39">G128-H128</f>
        <v>-32804620.983037472</v>
      </c>
      <c r="J128" s="605">
        <f t="shared" ref="J128:J244" si="40">IF(I128=0,"",I128/H128)</f>
        <v>-2.3343181811782694E-2</v>
      </c>
      <c r="K128" s="606">
        <f>K129+K132+K146</f>
        <v>1405319174.0330372</v>
      </c>
      <c r="L128" s="100"/>
    </row>
    <row r="129" spans="1:12" x14ac:dyDescent="0.25">
      <c r="A129" s="607" t="str">
        <f t="shared" si="37"/>
        <v>Executive and council</v>
      </c>
      <c r="B129" s="620"/>
      <c r="C129" s="608">
        <f t="shared" ref="C129:K129" si="41">SUM(C130:C131)</f>
        <v>123578808.51000004</v>
      </c>
      <c r="D129" s="608">
        <f t="shared" si="41"/>
        <v>137732466.40184778</v>
      </c>
      <c r="E129" s="608">
        <f t="shared" si="41"/>
        <v>138609982.7278536</v>
      </c>
      <c r="F129" s="608">
        <f t="shared" si="41"/>
        <v>22794400.339999996</v>
      </c>
      <c r="G129" s="608">
        <f t="shared" si="41"/>
        <v>117253265.37999997</v>
      </c>
      <c r="H129" s="608">
        <f t="shared" si="41"/>
        <v>138609982.7278536</v>
      </c>
      <c r="I129" s="608">
        <f t="shared" si="39"/>
        <v>-21356717.347853631</v>
      </c>
      <c r="J129" s="608">
        <f t="shared" si="40"/>
        <v>-0.15407777223221608</v>
      </c>
      <c r="K129" s="610">
        <f t="shared" si="41"/>
        <v>138609982.7278536</v>
      </c>
      <c r="L129" s="100"/>
    </row>
    <row r="130" spans="1:12" x14ac:dyDescent="0.25">
      <c r="A130" s="695" t="str">
        <f t="shared" si="37"/>
        <v>Mayor and Council</v>
      </c>
      <c r="B130" s="620"/>
      <c r="C130" s="733">
        <v>79058829.480000019</v>
      </c>
      <c r="D130" s="733">
        <v>86039675.165266603</v>
      </c>
      <c r="E130" s="733">
        <v>88752895.165266603</v>
      </c>
      <c r="F130" s="733">
        <v>7563178.0099999998</v>
      </c>
      <c r="G130" s="733">
        <v>76644584.389999956</v>
      </c>
      <c r="H130" s="733">
        <f t="shared" ref="H130:H131" si="42">E130/12*12</f>
        <v>88752895.165266603</v>
      </c>
      <c r="I130" s="408">
        <f t="shared" si="39"/>
        <v>-12108310.775266647</v>
      </c>
      <c r="J130" s="408">
        <f t="shared" si="40"/>
        <v>-0.13642722023568679</v>
      </c>
      <c r="K130" s="735">
        <f t="shared" ref="K130:K143" si="43">E130</f>
        <v>88752895.165266603</v>
      </c>
      <c r="L130" s="100"/>
    </row>
    <row r="131" spans="1:12" ht="18.600000000000001" customHeight="1" x14ac:dyDescent="0.25">
      <c r="A131" s="695" t="str">
        <f t="shared" si="37"/>
        <v>Municipal Manager, Town Secretary and Chief Executive</v>
      </c>
      <c r="B131" s="620"/>
      <c r="C131" s="733">
        <v>44519979.030000016</v>
      </c>
      <c r="D131" s="733">
        <v>51692791.236581177</v>
      </c>
      <c r="E131" s="733">
        <v>49857087.562586986</v>
      </c>
      <c r="F131" s="733">
        <v>15231222.329999994</v>
      </c>
      <c r="G131" s="733">
        <v>40608680.990000002</v>
      </c>
      <c r="H131" s="733">
        <f t="shared" si="42"/>
        <v>49857087.562586986</v>
      </c>
      <c r="I131" s="408">
        <f t="shared" si="39"/>
        <v>-9248406.5725869834</v>
      </c>
      <c r="J131" s="408">
        <f t="shared" si="40"/>
        <v>-0.18549833182648709</v>
      </c>
      <c r="K131" s="735">
        <f t="shared" si="43"/>
        <v>49857087.562586986</v>
      </c>
      <c r="L131" s="100"/>
    </row>
    <row r="132" spans="1:12" x14ac:dyDescent="0.25">
      <c r="A132" s="607" t="str">
        <f t="shared" si="37"/>
        <v>Finance and administration</v>
      </c>
      <c r="B132" s="620"/>
      <c r="C132" s="608">
        <f t="shared" ref="C132:H132" si="44">SUM(C133:C145)</f>
        <v>899233616.65999961</v>
      </c>
      <c r="D132" s="608">
        <f t="shared" si="44"/>
        <v>1194545745.0547059</v>
      </c>
      <c r="E132" s="608">
        <f t="shared" si="44"/>
        <v>1244452658.5200856</v>
      </c>
      <c r="F132" s="608">
        <f t="shared" si="44"/>
        <v>431133181.23999959</v>
      </c>
      <c r="G132" s="608">
        <f t="shared" si="44"/>
        <v>1238302869.5299997</v>
      </c>
      <c r="H132" s="608">
        <f t="shared" si="44"/>
        <v>1244452658.5200856</v>
      </c>
      <c r="I132" s="608">
        <f t="shared" si="39"/>
        <v>-6149788.9900858402</v>
      </c>
      <c r="J132" s="608">
        <f t="shared" si="40"/>
        <v>-4.9417621055984767E-3</v>
      </c>
      <c r="K132" s="608">
        <f>SUM(K133:K145)</f>
        <v>1244452658.5200856</v>
      </c>
      <c r="L132" s="100"/>
    </row>
    <row r="133" spans="1:12" x14ac:dyDescent="0.25">
      <c r="A133" s="695" t="str">
        <f t="shared" si="37"/>
        <v>Administrative and Corporate Support</v>
      </c>
      <c r="B133" s="415"/>
      <c r="C133" s="733">
        <v>50264328.210000001</v>
      </c>
      <c r="D133" s="733">
        <v>63311187.597137183</v>
      </c>
      <c r="E133" s="733">
        <v>62649554.597137183</v>
      </c>
      <c r="F133" s="733">
        <v>3992817.7000000011</v>
      </c>
      <c r="G133" s="733">
        <v>48529586.799999997</v>
      </c>
      <c r="H133" s="733">
        <f t="shared" ref="H133:H135" si="45">E133/12*12</f>
        <v>62649554.597137183</v>
      </c>
      <c r="I133" s="408">
        <f t="shared" si="39"/>
        <v>-14119967.797137186</v>
      </c>
      <c r="J133" s="408">
        <f t="shared" si="40"/>
        <v>-0.22538017848545738</v>
      </c>
      <c r="K133" s="735">
        <f t="shared" si="43"/>
        <v>62649554.597137183</v>
      </c>
      <c r="L133" s="100"/>
    </row>
    <row r="134" spans="1:12" x14ac:dyDescent="0.25">
      <c r="A134" s="695" t="str">
        <f t="shared" si="37"/>
        <v>Asset Management</v>
      </c>
      <c r="B134" s="415"/>
      <c r="C134" s="733">
        <v>61292864.669999987</v>
      </c>
      <c r="D134" s="733">
        <v>114851325.40861207</v>
      </c>
      <c r="E134" s="733">
        <v>116354060.40861207</v>
      </c>
      <c r="F134" s="733">
        <v>7604276.0500000026</v>
      </c>
      <c r="G134" s="733">
        <v>61494893.059999973</v>
      </c>
      <c r="H134" s="733">
        <f t="shared" si="45"/>
        <v>116354060.40861207</v>
      </c>
      <c r="I134" s="408">
        <f t="shared" si="39"/>
        <v>-54859167.3486121</v>
      </c>
      <c r="J134" s="408">
        <f t="shared" si="40"/>
        <v>-0.47148476946964918</v>
      </c>
      <c r="K134" s="735">
        <f t="shared" si="43"/>
        <v>116354060.40861207</v>
      </c>
      <c r="L134" s="100"/>
    </row>
    <row r="135" spans="1:12" x14ac:dyDescent="0.25">
      <c r="A135" s="695" t="str">
        <f t="shared" si="37"/>
        <v>Finance</v>
      </c>
      <c r="B135" s="415"/>
      <c r="C135" s="733">
        <v>336264911.26999968</v>
      </c>
      <c r="D135" s="733">
        <v>527291938.10809231</v>
      </c>
      <c r="E135" s="733">
        <v>536010051.81119955</v>
      </c>
      <c r="F135" s="733">
        <v>368084127.70999962</v>
      </c>
      <c r="G135" s="733">
        <v>665679522.23999989</v>
      </c>
      <c r="H135" s="733">
        <f t="shared" si="45"/>
        <v>536010051.81119955</v>
      </c>
      <c r="I135" s="408">
        <f t="shared" si="39"/>
        <v>129669470.42880034</v>
      </c>
      <c r="J135" s="408">
        <f t="shared" si="40"/>
        <v>0.24191611704042112</v>
      </c>
      <c r="K135" s="735">
        <f t="shared" si="43"/>
        <v>536010051.81119955</v>
      </c>
      <c r="L135" s="100"/>
    </row>
    <row r="136" spans="1:12" x14ac:dyDescent="0.25">
      <c r="A136" s="695" t="str">
        <f t="shared" si="37"/>
        <v>Fleet Management</v>
      </c>
      <c r="B136" s="415"/>
      <c r="C136" s="733"/>
      <c r="D136" s="733"/>
      <c r="E136" s="733">
        <v>0</v>
      </c>
      <c r="F136" s="733"/>
      <c r="G136" s="733"/>
      <c r="H136" s="733"/>
      <c r="I136" s="408">
        <f t="shared" si="39"/>
        <v>0</v>
      </c>
      <c r="J136" s="408" t="str">
        <f t="shared" si="40"/>
        <v/>
      </c>
      <c r="K136" s="735"/>
      <c r="L136" s="100"/>
    </row>
    <row r="137" spans="1:12" x14ac:dyDescent="0.25">
      <c r="A137" s="695" t="str">
        <f t="shared" si="37"/>
        <v>Human Resources</v>
      </c>
      <c r="B137" s="415"/>
      <c r="C137" s="733">
        <v>78526261.099999994</v>
      </c>
      <c r="D137" s="733">
        <v>167919296.40275738</v>
      </c>
      <c r="E137" s="733">
        <v>177750164.40260589</v>
      </c>
      <c r="F137" s="733">
        <v>8215458.6199999992</v>
      </c>
      <c r="G137" s="733">
        <v>78194860.87000002</v>
      </c>
      <c r="H137" s="733">
        <f t="shared" ref="H137:H141" si="46">E137/12*12</f>
        <v>177750164.40260589</v>
      </c>
      <c r="I137" s="408">
        <f t="shared" si="39"/>
        <v>-99555303.532605872</v>
      </c>
      <c r="J137" s="408">
        <f t="shared" si="40"/>
        <v>-0.56008557779509061</v>
      </c>
      <c r="K137" s="735">
        <f t="shared" si="43"/>
        <v>177750164.40260589</v>
      </c>
      <c r="L137" s="100"/>
    </row>
    <row r="138" spans="1:12" x14ac:dyDescent="0.25">
      <c r="A138" s="695" t="str">
        <f t="shared" si="37"/>
        <v>Information Technology</v>
      </c>
      <c r="B138" s="415"/>
      <c r="C138" s="733">
        <v>39378015.420000009</v>
      </c>
      <c r="D138" s="733">
        <v>36645394.820353068</v>
      </c>
      <c r="E138" s="733">
        <v>47436872.820353068</v>
      </c>
      <c r="F138" s="733">
        <v>4463810.54</v>
      </c>
      <c r="G138" s="733">
        <v>43069073.299999997</v>
      </c>
      <c r="H138" s="733">
        <f t="shared" si="46"/>
        <v>47436872.820353068</v>
      </c>
      <c r="I138" s="408">
        <f t="shared" si="39"/>
        <v>-4367799.5203530714</v>
      </c>
      <c r="J138" s="408">
        <f t="shared" si="40"/>
        <v>-9.2076042552262038E-2</v>
      </c>
      <c r="K138" s="735">
        <f t="shared" si="43"/>
        <v>47436872.820353068</v>
      </c>
      <c r="L138" s="100"/>
    </row>
    <row r="139" spans="1:12" x14ac:dyDescent="0.25">
      <c r="A139" s="695" t="str">
        <f t="shared" si="37"/>
        <v>Legal Services</v>
      </c>
      <c r="B139" s="415"/>
      <c r="C139" s="733">
        <v>14770253.189999998</v>
      </c>
      <c r="D139" s="733">
        <v>11011185.169427564</v>
      </c>
      <c r="E139" s="733">
        <v>10482390.169427564</v>
      </c>
      <c r="F139" s="733">
        <v>1619095.3199999998</v>
      </c>
      <c r="G139" s="733">
        <v>13346093.58</v>
      </c>
      <c r="H139" s="733">
        <f t="shared" si="46"/>
        <v>10482390.169427564</v>
      </c>
      <c r="I139" s="408">
        <f t="shared" si="39"/>
        <v>2863703.4105724357</v>
      </c>
      <c r="J139" s="408">
        <f t="shared" si="40"/>
        <v>0.27319183547704373</v>
      </c>
      <c r="K139" s="735">
        <f t="shared" si="43"/>
        <v>10482390.169427564</v>
      </c>
      <c r="L139" s="100"/>
    </row>
    <row r="140" spans="1:12" ht="22.5" x14ac:dyDescent="0.25">
      <c r="A140" s="695" t="str">
        <f t="shared" si="37"/>
        <v>Marketing, Customer Relations, Publicity and Media Co-ordination</v>
      </c>
      <c r="B140" s="415"/>
      <c r="C140" s="733">
        <v>12844089.329999996</v>
      </c>
      <c r="D140" s="733">
        <v>20838266.324347999</v>
      </c>
      <c r="E140" s="733">
        <v>20838266.324347999</v>
      </c>
      <c r="F140" s="733">
        <v>1292314.5900000001</v>
      </c>
      <c r="G140" s="733">
        <v>16348257.300000003</v>
      </c>
      <c r="H140" s="733">
        <f t="shared" si="46"/>
        <v>20838266.324347999</v>
      </c>
      <c r="I140" s="408">
        <f t="shared" si="39"/>
        <v>-4490009.0243479963</v>
      </c>
      <c r="J140" s="408">
        <f t="shared" si="40"/>
        <v>-0.21546941355201643</v>
      </c>
      <c r="K140" s="735">
        <f t="shared" si="43"/>
        <v>20838266.324347999</v>
      </c>
      <c r="L140" s="100"/>
    </row>
    <row r="141" spans="1:12" x14ac:dyDescent="0.25">
      <c r="A141" s="695" t="str">
        <f t="shared" si="37"/>
        <v>Property Services</v>
      </c>
      <c r="B141" s="415"/>
      <c r="C141" s="733">
        <v>75071808.519999981</v>
      </c>
      <c r="D141" s="733">
        <v>57794332.631016083</v>
      </c>
      <c r="E141" s="733">
        <v>59124332.631016083</v>
      </c>
      <c r="F141" s="733">
        <v>5435986.1100000003</v>
      </c>
      <c r="G141" s="733">
        <v>65733526.850000001</v>
      </c>
      <c r="H141" s="733">
        <f t="shared" si="46"/>
        <v>59124332.631016083</v>
      </c>
      <c r="I141" s="408">
        <f t="shared" si="39"/>
        <v>6609194.2189839184</v>
      </c>
      <c r="J141" s="408">
        <f t="shared" si="40"/>
        <v>0.11178467349865351</v>
      </c>
      <c r="K141" s="735">
        <f t="shared" si="43"/>
        <v>59124332.631016083</v>
      </c>
      <c r="L141" s="100"/>
    </row>
    <row r="142" spans="1:12" x14ac:dyDescent="0.25">
      <c r="A142" s="695" t="str">
        <f t="shared" si="37"/>
        <v>Risk Management</v>
      </c>
      <c r="B142" s="415"/>
      <c r="C142" s="733"/>
      <c r="D142" s="733"/>
      <c r="E142" s="733">
        <v>0</v>
      </c>
      <c r="F142" s="733"/>
      <c r="G142" s="733"/>
      <c r="H142" s="733"/>
      <c r="I142" s="408">
        <f t="shared" si="39"/>
        <v>0</v>
      </c>
      <c r="J142" s="408" t="str">
        <f t="shared" si="40"/>
        <v/>
      </c>
      <c r="K142" s="735"/>
      <c r="L142" s="100"/>
    </row>
    <row r="143" spans="1:12" x14ac:dyDescent="0.25">
      <c r="A143" s="695" t="str">
        <f t="shared" si="37"/>
        <v>Security Services</v>
      </c>
      <c r="B143" s="415"/>
      <c r="C143" s="733">
        <v>154812636.40000004</v>
      </c>
      <c r="D143" s="733">
        <v>131236960.70425577</v>
      </c>
      <c r="E143" s="733">
        <v>128844216.00984205</v>
      </c>
      <c r="F143" s="733">
        <v>20063424.460000001</v>
      </c>
      <c r="G143" s="733">
        <v>184647365.41000003</v>
      </c>
      <c r="H143" s="733">
        <f t="shared" ref="H143:H144" si="47">E143/12*12</f>
        <v>128844216.00984205</v>
      </c>
      <c r="I143" s="408">
        <f t="shared" si="39"/>
        <v>55803149.400157973</v>
      </c>
      <c r="J143" s="408">
        <f t="shared" si="40"/>
        <v>0.43310558384627312</v>
      </c>
      <c r="K143" s="735">
        <f t="shared" si="43"/>
        <v>128844216.00984205</v>
      </c>
      <c r="L143" s="100"/>
    </row>
    <row r="144" spans="1:12" x14ac:dyDescent="0.25">
      <c r="A144" s="695" t="str">
        <f t="shared" si="37"/>
        <v xml:space="preserve">Supply Chain Management </v>
      </c>
      <c r="B144" s="415"/>
      <c r="C144" s="733">
        <v>63181304.390000015</v>
      </c>
      <c r="D144" s="733">
        <v>63645857.888706505</v>
      </c>
      <c r="E144" s="733">
        <v>84962749.34554404</v>
      </c>
      <c r="F144" s="733">
        <v>10361870.140000001</v>
      </c>
      <c r="G144" s="733">
        <v>61259690.120000005</v>
      </c>
      <c r="H144" s="733">
        <f t="shared" si="47"/>
        <v>84962749.34554404</v>
      </c>
      <c r="I144" s="408">
        <f t="shared" si="39"/>
        <v>-23703059.225544035</v>
      </c>
      <c r="J144" s="408">
        <f t="shared" si="40"/>
        <v>-0.27898178211187052</v>
      </c>
      <c r="K144" s="735">
        <f t="shared" ref="K144" si="48">E144</f>
        <v>84962749.34554404</v>
      </c>
      <c r="L144" s="100"/>
    </row>
    <row r="145" spans="1:12" x14ac:dyDescent="0.25">
      <c r="A145" s="695" t="str">
        <f t="shared" si="37"/>
        <v>Valuation Service</v>
      </c>
      <c r="B145" s="415"/>
      <c r="C145" s="733">
        <v>12827144.16</v>
      </c>
      <c r="D145" s="733"/>
      <c r="E145" s="733">
        <v>0</v>
      </c>
      <c r="F145" s="733"/>
      <c r="G145" s="733"/>
      <c r="H145" s="733"/>
      <c r="I145" s="408">
        <f t="shared" si="39"/>
        <v>0</v>
      </c>
      <c r="J145" s="408" t="str">
        <f t="shared" si="40"/>
        <v/>
      </c>
      <c r="K145" s="735"/>
      <c r="L145" s="100"/>
    </row>
    <row r="146" spans="1:12" x14ac:dyDescent="0.25">
      <c r="A146" s="607" t="str">
        <f t="shared" si="37"/>
        <v>Internal audit</v>
      </c>
      <c r="B146" s="620"/>
      <c r="C146" s="608">
        <f t="shared" ref="C146:H146" si="49">SUM(C147:C147)</f>
        <v>18637938.279999994</v>
      </c>
      <c r="D146" s="608">
        <f t="shared" si="49"/>
        <v>21986532.785097998</v>
      </c>
      <c r="E146" s="608">
        <f t="shared" si="49"/>
        <v>22256532.785097998</v>
      </c>
      <c r="F146" s="608">
        <f t="shared" si="49"/>
        <v>2057504.92</v>
      </c>
      <c r="G146" s="608">
        <f t="shared" si="49"/>
        <v>16958418.140000001</v>
      </c>
      <c r="H146" s="608">
        <f t="shared" si="49"/>
        <v>22256532.785097998</v>
      </c>
      <c r="I146" s="608">
        <f t="shared" si="39"/>
        <v>-5298114.645097997</v>
      </c>
      <c r="J146" s="608">
        <f t="shared" si="40"/>
        <v>-0.2380476193778657</v>
      </c>
      <c r="K146" s="610">
        <f>SUM(K147:K147)</f>
        <v>22256532.785097998</v>
      </c>
      <c r="L146" s="100"/>
    </row>
    <row r="147" spans="1:12" x14ac:dyDescent="0.25">
      <c r="A147" s="695" t="str">
        <f t="shared" si="37"/>
        <v>Governance Function</v>
      </c>
      <c r="B147" s="620"/>
      <c r="C147" s="733">
        <v>18637938.279999994</v>
      </c>
      <c r="D147" s="733">
        <v>21986532.785097998</v>
      </c>
      <c r="E147" s="733">
        <v>22256532.785097998</v>
      </c>
      <c r="F147" s="733">
        <v>2057504.92</v>
      </c>
      <c r="G147" s="733">
        <v>16958418.140000001</v>
      </c>
      <c r="H147" s="733">
        <f>E147/12*12</f>
        <v>22256532.785097998</v>
      </c>
      <c r="I147" s="408">
        <f t="shared" si="39"/>
        <v>-5298114.645097997</v>
      </c>
      <c r="J147" s="408">
        <f t="shared" si="40"/>
        <v>-0.2380476193778657</v>
      </c>
      <c r="K147" s="735">
        <f t="shared" ref="K147" si="50">E147</f>
        <v>22256532.785097998</v>
      </c>
      <c r="L147" s="100"/>
    </row>
    <row r="148" spans="1:12" x14ac:dyDescent="0.25">
      <c r="A148" s="414" t="str">
        <f t="shared" si="37"/>
        <v>Community and public safety</v>
      </c>
      <c r="B148" s="620"/>
      <c r="C148" s="605">
        <f t="shared" ref="C148:H148" si="51">C149+C171+C177+C186+C189</f>
        <v>472238040.56</v>
      </c>
      <c r="D148" s="605">
        <f t="shared" si="51"/>
        <v>440067727.15977156</v>
      </c>
      <c r="E148" s="605">
        <f t="shared" si="51"/>
        <v>533334006.71673155</v>
      </c>
      <c r="F148" s="605">
        <f t="shared" si="51"/>
        <v>44497035.559999995</v>
      </c>
      <c r="G148" s="605">
        <f t="shared" si="51"/>
        <v>543305690.33000004</v>
      </c>
      <c r="H148" s="605">
        <f t="shared" si="51"/>
        <v>533334006.71673155</v>
      </c>
      <c r="I148" s="605">
        <f t="shared" si="39"/>
        <v>9971683.6132684946</v>
      </c>
      <c r="J148" s="605">
        <f t="shared" si="40"/>
        <v>1.869688316830832E-2</v>
      </c>
      <c r="K148" s="606">
        <f>K149+K171+K177+K186+K189</f>
        <v>533334006.71673155</v>
      </c>
      <c r="L148" s="100"/>
    </row>
    <row r="149" spans="1:12" x14ac:dyDescent="0.25">
      <c r="A149" s="607" t="str">
        <f t="shared" si="37"/>
        <v>Community and social services</v>
      </c>
      <c r="B149" s="620"/>
      <c r="C149" s="611">
        <f t="shared" ref="C149:H149" si="52">SUM(C150:C170)</f>
        <v>113129414.60000002</v>
      </c>
      <c r="D149" s="611">
        <f t="shared" si="52"/>
        <v>128373725.79885694</v>
      </c>
      <c r="E149" s="611">
        <f t="shared" si="52"/>
        <v>130889937.79885694</v>
      </c>
      <c r="F149" s="611">
        <f t="shared" si="52"/>
        <v>11705713.01</v>
      </c>
      <c r="G149" s="611">
        <f t="shared" si="52"/>
        <v>149429461.05000004</v>
      </c>
      <c r="H149" s="611">
        <f t="shared" si="52"/>
        <v>130889937.79885694</v>
      </c>
      <c r="I149" s="611">
        <f t="shared" si="39"/>
        <v>18539523.251143098</v>
      </c>
      <c r="J149" s="611">
        <f t="shared" si="40"/>
        <v>0.14164208160625319</v>
      </c>
      <c r="K149" s="614">
        <f>SUM(K150:K170)</f>
        <v>130889937.79885694</v>
      </c>
      <c r="L149" s="100"/>
    </row>
    <row r="150" spans="1:12" x14ac:dyDescent="0.25">
      <c r="A150" s="695" t="str">
        <f t="shared" si="37"/>
        <v>Aged Care</v>
      </c>
      <c r="B150" s="620"/>
      <c r="C150" s="733">
        <v>28650.61</v>
      </c>
      <c r="D150" s="733">
        <v>4431.0612499999997</v>
      </c>
      <c r="E150" s="733">
        <v>4431.0612499999997</v>
      </c>
      <c r="F150" s="733">
        <v>47.14</v>
      </c>
      <c r="G150" s="733">
        <v>577.18999999999994</v>
      </c>
      <c r="H150" s="733">
        <f>E150/12*12</f>
        <v>4431.0612499999997</v>
      </c>
      <c r="I150" s="408">
        <f t="shared" si="39"/>
        <v>-3853.8712499999997</v>
      </c>
      <c r="J150" s="408">
        <f t="shared" si="40"/>
        <v>-0.86974000867173751</v>
      </c>
      <c r="K150" s="735">
        <f t="shared" ref="K150" si="53">E150</f>
        <v>4431.0612499999997</v>
      </c>
      <c r="L150" s="100"/>
    </row>
    <row r="151" spans="1:12" x14ac:dyDescent="0.25">
      <c r="A151" s="695" t="str">
        <f t="shared" si="37"/>
        <v>Agricultural</v>
      </c>
      <c r="B151" s="620"/>
      <c r="C151" s="733"/>
      <c r="D151" s="733"/>
      <c r="E151" s="733">
        <v>0</v>
      </c>
      <c r="F151" s="733"/>
      <c r="G151" s="733"/>
      <c r="H151" s="733"/>
      <c r="I151" s="408">
        <f t="shared" si="39"/>
        <v>0</v>
      </c>
      <c r="J151" s="408" t="str">
        <f t="shared" si="40"/>
        <v/>
      </c>
      <c r="K151" s="735"/>
      <c r="L151" s="100"/>
    </row>
    <row r="152" spans="1:12" x14ac:dyDescent="0.25">
      <c r="A152" s="695" t="str">
        <f t="shared" si="37"/>
        <v>Animal Care and Diseases</v>
      </c>
      <c r="B152" s="620"/>
      <c r="C152" s="733">
        <v>1322049.3599999999</v>
      </c>
      <c r="D152" s="733">
        <v>982940.46</v>
      </c>
      <c r="E152" s="733">
        <v>982940.46</v>
      </c>
      <c r="F152" s="733">
        <v>709912.92</v>
      </c>
      <c r="G152" s="733">
        <v>1400050.2000000002</v>
      </c>
      <c r="H152" s="733">
        <f>E152/12*12</f>
        <v>982940.46</v>
      </c>
      <c r="I152" s="408">
        <f t="shared" si="39"/>
        <v>417109.74000000022</v>
      </c>
      <c r="J152" s="408">
        <f t="shared" si="40"/>
        <v>0.42434893767624565</v>
      </c>
      <c r="K152" s="735">
        <f t="shared" ref="K152:K153" si="54">E152</f>
        <v>982940.46</v>
      </c>
      <c r="L152" s="100"/>
    </row>
    <row r="153" spans="1:12" ht="22.5" x14ac:dyDescent="0.25">
      <c r="A153" s="695" t="str">
        <f t="shared" si="37"/>
        <v>Cemeteries, Funeral Parlours and Crematoriums</v>
      </c>
      <c r="B153" s="620"/>
      <c r="C153" s="733">
        <v>25987108.460000001</v>
      </c>
      <c r="D153" s="733">
        <v>26579168.830668706</v>
      </c>
      <c r="E153" s="733">
        <v>26593168.830668706</v>
      </c>
      <c r="F153" s="733">
        <v>2162824.6399999997</v>
      </c>
      <c r="G153" s="733">
        <v>26480696.530000009</v>
      </c>
      <c r="H153" s="733">
        <f>E153/12*12</f>
        <v>26593168.830668706</v>
      </c>
      <c r="I153" s="408">
        <f t="shared" si="39"/>
        <v>-112472.3006686978</v>
      </c>
      <c r="J153" s="408">
        <f t="shared" si="40"/>
        <v>-4.2293681277647726E-3</v>
      </c>
      <c r="K153" s="735">
        <f t="shared" si="54"/>
        <v>26593168.830668706</v>
      </c>
      <c r="L153" s="100"/>
    </row>
    <row r="154" spans="1:12" x14ac:dyDescent="0.25">
      <c r="A154" s="695" t="str">
        <f t="shared" si="37"/>
        <v>Child Care Facilities</v>
      </c>
      <c r="B154" s="620"/>
      <c r="C154" s="733"/>
      <c r="D154" s="733"/>
      <c r="E154" s="733">
        <v>0</v>
      </c>
      <c r="F154" s="733"/>
      <c r="G154" s="733"/>
      <c r="H154" s="733"/>
      <c r="I154" s="408">
        <f t="shared" si="39"/>
        <v>0</v>
      </c>
      <c r="J154" s="408" t="str">
        <f t="shared" si="40"/>
        <v/>
      </c>
      <c r="K154" s="735"/>
      <c r="L154" s="100"/>
    </row>
    <row r="155" spans="1:12" x14ac:dyDescent="0.25">
      <c r="A155" s="695" t="str">
        <f t="shared" si="37"/>
        <v>Community Halls and Facilities</v>
      </c>
      <c r="B155" s="620"/>
      <c r="C155" s="733">
        <v>14666382.090000005</v>
      </c>
      <c r="D155" s="733">
        <v>15746961.964834005</v>
      </c>
      <c r="E155" s="733">
        <v>15746961.964834005</v>
      </c>
      <c r="F155" s="733">
        <v>2654420.8200000003</v>
      </c>
      <c r="G155" s="733">
        <v>48106162.95000001</v>
      </c>
      <c r="H155" s="733">
        <f>E155/12*12</f>
        <v>15746961.964834005</v>
      </c>
      <c r="I155" s="408">
        <f t="shared" si="39"/>
        <v>32359200.985166006</v>
      </c>
      <c r="J155" s="408">
        <f t="shared" si="40"/>
        <v>2.0549488248863703</v>
      </c>
      <c r="K155" s="735">
        <f t="shared" ref="K155" si="55">E155</f>
        <v>15746961.964834005</v>
      </c>
      <c r="L155" s="100"/>
    </row>
    <row r="156" spans="1:12" x14ac:dyDescent="0.25">
      <c r="A156" s="695" t="str">
        <f t="shared" si="37"/>
        <v>Consumer Protection</v>
      </c>
      <c r="B156" s="620"/>
      <c r="C156" s="733"/>
      <c r="D156" s="733"/>
      <c r="E156" s="733">
        <v>0</v>
      </c>
      <c r="F156" s="733"/>
      <c r="G156" s="733"/>
      <c r="H156" s="733"/>
      <c r="I156" s="408">
        <f t="shared" si="39"/>
        <v>0</v>
      </c>
      <c r="J156" s="408" t="str">
        <f t="shared" si="40"/>
        <v/>
      </c>
      <c r="K156" s="735"/>
      <c r="L156" s="100"/>
    </row>
    <row r="157" spans="1:12" x14ac:dyDescent="0.25">
      <c r="A157" s="695" t="str">
        <f t="shared" si="37"/>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7"/>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7"/>
        <v>Education</v>
      </c>
      <c r="B159" s="620"/>
      <c r="C159" s="733"/>
      <c r="D159" s="733"/>
      <c r="E159" s="733">
        <v>0</v>
      </c>
      <c r="F159" s="733"/>
      <c r="G159" s="733"/>
      <c r="H159" s="733"/>
      <c r="I159" s="408">
        <f t="shared" ref="I159:I164" si="56">G159-H159</f>
        <v>0</v>
      </c>
      <c r="J159" s="408" t="str">
        <f t="shared" ref="J159:J164" si="57">IF(I159=0,"",I159/H159)</f>
        <v/>
      </c>
      <c r="K159" s="735"/>
      <c r="L159" s="100"/>
    </row>
    <row r="160" spans="1:12" x14ac:dyDescent="0.25">
      <c r="A160" s="695" t="str">
        <f t="shared" ref="A160:A191" si="58">A38</f>
        <v>Indigenous and Customary Law</v>
      </c>
      <c r="B160" s="620"/>
      <c r="C160" s="733"/>
      <c r="D160" s="733"/>
      <c r="E160" s="733">
        <v>0</v>
      </c>
      <c r="F160" s="733"/>
      <c r="G160" s="733"/>
      <c r="H160" s="733"/>
      <c r="I160" s="408">
        <f t="shared" si="56"/>
        <v>0</v>
      </c>
      <c r="J160" s="408" t="str">
        <f t="shared" si="57"/>
        <v/>
      </c>
      <c r="K160" s="735"/>
      <c r="L160" s="100"/>
    </row>
    <row r="161" spans="1:12" x14ac:dyDescent="0.25">
      <c r="A161" s="695" t="str">
        <f t="shared" si="58"/>
        <v>Industrial Promotion</v>
      </c>
      <c r="B161" s="620"/>
      <c r="C161" s="733"/>
      <c r="D161" s="733"/>
      <c r="E161" s="733">
        <v>0</v>
      </c>
      <c r="F161" s="733"/>
      <c r="G161" s="733"/>
      <c r="H161" s="733"/>
      <c r="I161" s="408">
        <f t="shared" si="56"/>
        <v>0</v>
      </c>
      <c r="J161" s="408" t="str">
        <f t="shared" si="57"/>
        <v/>
      </c>
      <c r="K161" s="735"/>
      <c r="L161" s="100"/>
    </row>
    <row r="162" spans="1:12" x14ac:dyDescent="0.25">
      <c r="A162" s="695" t="str">
        <f t="shared" si="58"/>
        <v>Language Policy</v>
      </c>
      <c r="B162" s="620"/>
      <c r="C162" s="733"/>
      <c r="D162" s="733"/>
      <c r="E162" s="733">
        <v>0</v>
      </c>
      <c r="F162" s="733"/>
      <c r="G162" s="733"/>
      <c r="H162" s="733"/>
      <c r="I162" s="408">
        <f t="shared" si="56"/>
        <v>0</v>
      </c>
      <c r="J162" s="408" t="str">
        <f t="shared" si="57"/>
        <v/>
      </c>
      <c r="K162" s="735"/>
      <c r="L162" s="100"/>
    </row>
    <row r="163" spans="1:12" x14ac:dyDescent="0.25">
      <c r="A163" s="695" t="str">
        <f t="shared" si="58"/>
        <v>Libraries and Archives</v>
      </c>
      <c r="B163" s="620"/>
      <c r="C163" s="733">
        <v>59331929.189999998</v>
      </c>
      <c r="D163" s="733">
        <v>68987451.478751421</v>
      </c>
      <c r="E163" s="733">
        <v>71261116.478751421</v>
      </c>
      <c r="F163" s="733">
        <v>5035179.3599999994</v>
      </c>
      <c r="G163" s="733">
        <v>64446917.320000008</v>
      </c>
      <c r="H163" s="733">
        <f>E163/12*12</f>
        <v>71261116.478751421</v>
      </c>
      <c r="I163" s="408">
        <f t="shared" si="56"/>
        <v>-6814199.1587514132</v>
      </c>
      <c r="J163" s="408">
        <f t="shared" si="57"/>
        <v>-9.5622963762899582E-2</v>
      </c>
      <c r="K163" s="735">
        <f t="shared" ref="K163" si="59">E163</f>
        <v>71261116.478751421</v>
      </c>
      <c r="L163" s="100"/>
    </row>
    <row r="164" spans="1:12" x14ac:dyDescent="0.25">
      <c r="A164" s="695" t="str">
        <f t="shared" si="58"/>
        <v>Literacy Programmes</v>
      </c>
      <c r="B164" s="620"/>
      <c r="C164" s="733"/>
      <c r="D164" s="733"/>
      <c r="E164" s="733">
        <v>0</v>
      </c>
      <c r="F164" s="733"/>
      <c r="G164" s="733"/>
      <c r="H164" s="733"/>
      <c r="I164" s="408">
        <f t="shared" si="56"/>
        <v>0</v>
      </c>
      <c r="J164" s="408" t="str">
        <f t="shared" si="57"/>
        <v/>
      </c>
      <c r="K164" s="735"/>
      <c r="L164" s="100"/>
    </row>
    <row r="165" spans="1:12" x14ac:dyDescent="0.25">
      <c r="A165" s="695" t="str">
        <f t="shared" si="58"/>
        <v>Media Services</v>
      </c>
      <c r="B165" s="620"/>
      <c r="C165" s="733"/>
      <c r="D165" s="733"/>
      <c r="E165" s="733">
        <v>0</v>
      </c>
      <c r="F165" s="733"/>
      <c r="G165" s="733"/>
      <c r="H165" s="733"/>
      <c r="I165" s="408">
        <f t="shared" si="39"/>
        <v>0</v>
      </c>
      <c r="J165" s="408" t="str">
        <f t="shared" si="40"/>
        <v/>
      </c>
      <c r="K165" s="735"/>
      <c r="L165" s="100"/>
    </row>
    <row r="166" spans="1:12" x14ac:dyDescent="0.25">
      <c r="A166" s="695" t="str">
        <f t="shared" si="58"/>
        <v>Museums and Art Galleries</v>
      </c>
      <c r="B166" s="620"/>
      <c r="C166" s="733">
        <v>6707807.7100000009</v>
      </c>
      <c r="D166" s="733">
        <v>7907722.2016169671</v>
      </c>
      <c r="E166" s="733">
        <v>8165123.2016169671</v>
      </c>
      <c r="F166" s="733">
        <v>777985.09</v>
      </c>
      <c r="G166" s="733">
        <v>4241840.0199999996</v>
      </c>
      <c r="H166" s="733">
        <f t="shared" ref="H166:H167" si="60">E166/12*12</f>
        <v>8165123.2016169671</v>
      </c>
      <c r="I166" s="408">
        <f t="shared" si="39"/>
        <v>-3923283.1816169675</v>
      </c>
      <c r="J166" s="408">
        <f t="shared" si="40"/>
        <v>-0.48049283332798048</v>
      </c>
      <c r="K166" s="735">
        <f t="shared" ref="K166:K167" si="61">E166</f>
        <v>8165123.2016169671</v>
      </c>
      <c r="L166" s="100"/>
    </row>
    <row r="167" spans="1:12" x14ac:dyDescent="0.25">
      <c r="A167" s="695" t="str">
        <f t="shared" si="58"/>
        <v>Population Development</v>
      </c>
      <c r="B167" s="620"/>
      <c r="C167" s="733">
        <v>5079039.34</v>
      </c>
      <c r="D167" s="733">
        <v>8165049.8017358435</v>
      </c>
      <c r="E167" s="733">
        <v>8136195.8017358435</v>
      </c>
      <c r="F167" s="733">
        <v>364805.71999999991</v>
      </c>
      <c r="G167" s="733">
        <v>4746231.68</v>
      </c>
      <c r="H167" s="733">
        <f t="shared" si="60"/>
        <v>8136195.8017358426</v>
      </c>
      <c r="I167" s="408">
        <f t="shared" si="39"/>
        <v>-3389964.1217358429</v>
      </c>
      <c r="J167" s="408">
        <f t="shared" si="40"/>
        <v>-0.41665222965905024</v>
      </c>
      <c r="K167" s="735">
        <f t="shared" si="61"/>
        <v>8136195.8017358435</v>
      </c>
      <c r="L167" s="100"/>
    </row>
    <row r="168" spans="1:12" x14ac:dyDescent="0.25">
      <c r="A168" s="695" t="str">
        <f t="shared" si="58"/>
        <v>Provincial Cultural Matters</v>
      </c>
      <c r="B168" s="620"/>
      <c r="C168" s="733"/>
      <c r="D168" s="733"/>
      <c r="E168" s="733">
        <v>0</v>
      </c>
      <c r="F168" s="733"/>
      <c r="G168" s="733"/>
      <c r="H168" s="733"/>
      <c r="I168" s="408">
        <f t="shared" si="39"/>
        <v>0</v>
      </c>
      <c r="J168" s="408" t="str">
        <f t="shared" si="40"/>
        <v/>
      </c>
      <c r="K168" s="735"/>
      <c r="L168" s="100"/>
    </row>
    <row r="169" spans="1:12" x14ac:dyDescent="0.25">
      <c r="A169" s="695" t="str">
        <f t="shared" si="58"/>
        <v>Theatres</v>
      </c>
      <c r="B169" s="620"/>
      <c r="C169" s="733">
        <v>6447.84</v>
      </c>
      <c r="D169" s="733"/>
      <c r="E169" s="733">
        <v>0</v>
      </c>
      <c r="F169" s="733">
        <v>537.32000000000005</v>
      </c>
      <c r="G169" s="733">
        <v>6985.1599999999989</v>
      </c>
      <c r="H169" s="733"/>
      <c r="I169" s="408">
        <f t="shared" si="39"/>
        <v>6985.1599999999989</v>
      </c>
      <c r="J169" s="408" t="e">
        <f t="shared" si="40"/>
        <v>#DIV/0!</v>
      </c>
      <c r="K169" s="735"/>
      <c r="L169" s="100"/>
    </row>
    <row r="170" spans="1:12" x14ac:dyDescent="0.25">
      <c r="A170" s="695" t="str">
        <f t="shared" si="58"/>
        <v>Zoo's</v>
      </c>
      <c r="B170" s="620"/>
      <c r="C170" s="733"/>
      <c r="D170" s="733"/>
      <c r="E170" s="733">
        <v>0</v>
      </c>
      <c r="F170" s="733"/>
      <c r="G170" s="733"/>
      <c r="H170" s="733"/>
      <c r="I170" s="408">
        <f t="shared" si="39"/>
        <v>0</v>
      </c>
      <c r="J170" s="408" t="str">
        <f t="shared" si="40"/>
        <v/>
      </c>
      <c r="K170" s="735"/>
      <c r="L170" s="100"/>
    </row>
    <row r="171" spans="1:12" x14ac:dyDescent="0.25">
      <c r="A171" s="607" t="str">
        <f t="shared" si="58"/>
        <v>Sport and recreation</v>
      </c>
      <c r="B171" s="620"/>
      <c r="C171" s="611">
        <f t="shared" ref="C171:K171" si="62">SUM(C172:C176)</f>
        <v>102369147.31999999</v>
      </c>
      <c r="D171" s="611">
        <f t="shared" si="62"/>
        <v>114418472.68896006</v>
      </c>
      <c r="E171" s="611">
        <f t="shared" si="62"/>
        <v>114548472.68896006</v>
      </c>
      <c r="F171" s="611">
        <f t="shared" si="62"/>
        <v>11357718.169999996</v>
      </c>
      <c r="G171" s="611">
        <f t="shared" si="62"/>
        <v>123243206.18000001</v>
      </c>
      <c r="H171" s="611">
        <f t="shared" si="62"/>
        <v>114548472.68896006</v>
      </c>
      <c r="I171" s="611">
        <f t="shared" ref="I171:I176" si="63">G171-H171</f>
        <v>8694733.4910399467</v>
      </c>
      <c r="J171" s="611">
        <f t="shared" ref="J171:J176" si="64">IF(I171=0,"",I171/H171)</f>
        <v>7.5904403497803488E-2</v>
      </c>
      <c r="K171" s="614">
        <f t="shared" si="62"/>
        <v>114548472.68896006</v>
      </c>
      <c r="L171" s="100"/>
    </row>
    <row r="172" spans="1:12" x14ac:dyDescent="0.25">
      <c r="A172" s="695" t="str">
        <f t="shared" si="58"/>
        <v xml:space="preserve">Beaches and Jetties </v>
      </c>
      <c r="B172" s="620"/>
      <c r="C172" s="733"/>
      <c r="D172" s="733"/>
      <c r="E172" s="733"/>
      <c r="F172" s="733"/>
      <c r="G172" s="733"/>
      <c r="H172" s="733"/>
      <c r="I172" s="408">
        <f t="shared" si="63"/>
        <v>0</v>
      </c>
      <c r="J172" s="408" t="str">
        <f t="shared" si="64"/>
        <v/>
      </c>
      <c r="K172" s="735"/>
      <c r="L172" s="100"/>
    </row>
    <row r="173" spans="1:12" x14ac:dyDescent="0.25">
      <c r="A173" s="695" t="str">
        <f t="shared" si="58"/>
        <v>Casinos, Racing, Gambling, Wagering</v>
      </c>
      <c r="B173" s="620"/>
      <c r="C173" s="733"/>
      <c r="D173" s="733"/>
      <c r="E173" s="733"/>
      <c r="F173" s="733"/>
      <c r="G173" s="733"/>
      <c r="H173" s="733"/>
      <c r="I173" s="408">
        <f t="shared" si="63"/>
        <v>0</v>
      </c>
      <c r="J173" s="408" t="str">
        <f t="shared" si="64"/>
        <v/>
      </c>
      <c r="K173" s="735"/>
      <c r="L173" s="100"/>
    </row>
    <row r="174" spans="1:12" x14ac:dyDescent="0.25">
      <c r="A174" s="695" t="str">
        <f t="shared" si="58"/>
        <v>Community Parks (including Nurseries)</v>
      </c>
      <c r="B174" s="620"/>
      <c r="C174" s="733">
        <v>45310937.109999999</v>
      </c>
      <c r="D174" s="733">
        <v>48114791.713263765</v>
      </c>
      <c r="E174" s="733">
        <v>48294791.713263765</v>
      </c>
      <c r="F174" s="733">
        <v>4716168.9000000004</v>
      </c>
      <c r="G174" s="733">
        <v>50230181.669999994</v>
      </c>
      <c r="H174" s="733">
        <f t="shared" ref="H174:H175" si="65">E174/12*12</f>
        <v>48294791.713263765</v>
      </c>
      <c r="I174" s="408">
        <f t="shared" si="63"/>
        <v>1935389.9567362294</v>
      </c>
      <c r="J174" s="408">
        <f t="shared" si="64"/>
        <v>4.0074506754828605E-2</v>
      </c>
      <c r="K174" s="735">
        <f t="shared" ref="K174:K175" si="66">E174</f>
        <v>48294791.713263765</v>
      </c>
      <c r="L174" s="100"/>
    </row>
    <row r="175" spans="1:12" x14ac:dyDescent="0.25">
      <c r="A175" s="695" t="str">
        <f t="shared" si="58"/>
        <v>Recreational Facilities</v>
      </c>
      <c r="B175" s="620"/>
      <c r="C175" s="733">
        <v>57058210.209999993</v>
      </c>
      <c r="D175" s="733">
        <v>66303680.975696295</v>
      </c>
      <c r="E175" s="733">
        <v>66253680.975696295</v>
      </c>
      <c r="F175" s="733">
        <v>6641549.2699999958</v>
      </c>
      <c r="G175" s="733">
        <v>73013024.510000005</v>
      </c>
      <c r="H175" s="733">
        <f t="shared" si="65"/>
        <v>66253680.975696295</v>
      </c>
      <c r="I175" s="408">
        <f t="shared" si="63"/>
        <v>6759343.5343037099</v>
      </c>
      <c r="J175" s="408">
        <f t="shared" si="64"/>
        <v>0.10202215838819924</v>
      </c>
      <c r="K175" s="735">
        <f t="shared" si="66"/>
        <v>66253680.975696295</v>
      </c>
      <c r="L175" s="100"/>
    </row>
    <row r="176" spans="1:12" x14ac:dyDescent="0.25">
      <c r="A176" s="695" t="str">
        <f t="shared" si="58"/>
        <v>Sports Grounds and Stadiums</v>
      </c>
      <c r="B176" s="620"/>
      <c r="C176" s="733"/>
      <c r="D176" s="733"/>
      <c r="E176" s="733">
        <v>0</v>
      </c>
      <c r="F176" s="733"/>
      <c r="G176" s="733"/>
      <c r="H176" s="733"/>
      <c r="I176" s="408">
        <f t="shared" si="63"/>
        <v>0</v>
      </c>
      <c r="J176" s="408" t="str">
        <f t="shared" si="64"/>
        <v/>
      </c>
      <c r="K176" s="735"/>
      <c r="L176" s="100"/>
    </row>
    <row r="177" spans="1:12" x14ac:dyDescent="0.25">
      <c r="A177" s="607" t="str">
        <f t="shared" si="58"/>
        <v>Public safety</v>
      </c>
      <c r="B177" s="620"/>
      <c r="C177" s="611">
        <f t="shared" ref="C177:K177" si="67">SUM(C178:C185)</f>
        <v>193214425.33999997</v>
      </c>
      <c r="D177" s="611">
        <f t="shared" si="67"/>
        <v>106871795.2822189</v>
      </c>
      <c r="E177" s="611">
        <f t="shared" si="67"/>
        <v>140511795.83917889</v>
      </c>
      <c r="F177" s="611">
        <f t="shared" si="67"/>
        <v>14730279.499999996</v>
      </c>
      <c r="G177" s="611">
        <f t="shared" si="67"/>
        <v>193944295.43000001</v>
      </c>
      <c r="H177" s="611">
        <f t="shared" si="67"/>
        <v>140511795.83917889</v>
      </c>
      <c r="I177" s="611">
        <f t="shared" si="39"/>
        <v>53432499.590821117</v>
      </c>
      <c r="J177" s="611">
        <f t="shared" si="40"/>
        <v>0.38027056213826099</v>
      </c>
      <c r="K177" s="614">
        <f t="shared" si="67"/>
        <v>140511795.83917889</v>
      </c>
      <c r="L177" s="100"/>
    </row>
    <row r="178" spans="1:12" x14ac:dyDescent="0.25">
      <c r="A178" s="695" t="str">
        <f t="shared" si="58"/>
        <v>Civil Defence</v>
      </c>
      <c r="B178" s="620"/>
      <c r="C178" s="733">
        <v>13908466.710000001</v>
      </c>
      <c r="D178" s="733">
        <v>12197113.976451974</v>
      </c>
      <c r="E178" s="733">
        <v>12197113.976451974</v>
      </c>
      <c r="F178" s="733">
        <v>298027.30999999994</v>
      </c>
      <c r="G178" s="733">
        <v>14557328.91</v>
      </c>
      <c r="H178" s="733">
        <f>E178/12*12</f>
        <v>12197113.976451974</v>
      </c>
      <c r="I178" s="408">
        <f t="shared" si="39"/>
        <v>2360214.9335480258</v>
      </c>
      <c r="J178" s="408">
        <f t="shared" si="40"/>
        <v>0.19350601610386772</v>
      </c>
      <c r="K178" s="735">
        <f t="shared" ref="K178" si="68">E178</f>
        <v>12197113.976451974</v>
      </c>
      <c r="L178" s="100"/>
    </row>
    <row r="179" spans="1:12" x14ac:dyDescent="0.25">
      <c r="A179" s="695" t="str">
        <f t="shared" si="58"/>
        <v>Cleansing</v>
      </c>
      <c r="B179" s="620"/>
      <c r="C179" s="733"/>
      <c r="D179" s="733"/>
      <c r="E179" s="733"/>
      <c r="F179" s="733"/>
      <c r="G179" s="733"/>
      <c r="H179" s="733"/>
      <c r="I179" s="408">
        <f t="shared" si="39"/>
        <v>0</v>
      </c>
      <c r="J179" s="408" t="str">
        <f t="shared" si="40"/>
        <v/>
      </c>
      <c r="K179" s="735"/>
      <c r="L179" s="100"/>
    </row>
    <row r="180" spans="1:12" x14ac:dyDescent="0.25">
      <c r="A180" s="695" t="str">
        <f t="shared" si="58"/>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8"/>
        <v xml:space="preserve">Fencing and Fences </v>
      </c>
      <c r="B181" s="620"/>
      <c r="C181" s="733"/>
      <c r="D181" s="733"/>
      <c r="E181" s="733"/>
      <c r="F181" s="733"/>
      <c r="G181" s="733"/>
      <c r="H181" s="733"/>
      <c r="I181" s="408">
        <f t="shared" si="39"/>
        <v>0</v>
      </c>
      <c r="J181" s="408" t="str">
        <f t="shared" si="40"/>
        <v/>
      </c>
      <c r="K181" s="735"/>
      <c r="L181" s="100"/>
    </row>
    <row r="182" spans="1:12" x14ac:dyDescent="0.25">
      <c r="A182" s="695" t="str">
        <f t="shared" si="58"/>
        <v>Fire Fighting and Protection</v>
      </c>
      <c r="B182" s="620"/>
      <c r="C182" s="733">
        <v>98385793.119999975</v>
      </c>
      <c r="D182" s="733">
        <v>94674681.305766925</v>
      </c>
      <c r="E182" s="733">
        <v>128314681.86272693</v>
      </c>
      <c r="F182" s="733">
        <v>8656117.8999999966</v>
      </c>
      <c r="G182" s="733">
        <v>107715389.08</v>
      </c>
      <c r="H182" s="733">
        <f>E182/12*12</f>
        <v>128314681.86272693</v>
      </c>
      <c r="I182" s="408">
        <f t="shared" si="39"/>
        <v>-20599292.782726929</v>
      </c>
      <c r="J182" s="408">
        <f t="shared" si="40"/>
        <v>-0.16053730160640836</v>
      </c>
      <c r="K182" s="735">
        <f t="shared" ref="K182" si="69">E182</f>
        <v>128314681.86272693</v>
      </c>
      <c r="L182" s="100"/>
    </row>
    <row r="183" spans="1:12" x14ac:dyDescent="0.25">
      <c r="A183" s="695" t="str">
        <f t="shared" si="58"/>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8"/>
        <v>Police Forces, Traffic and Street Parking Control</v>
      </c>
      <c r="B184" s="620"/>
      <c r="C184" s="733">
        <v>80920165.50999999</v>
      </c>
      <c r="D184" s="733"/>
      <c r="E184" s="733"/>
      <c r="F184" s="733">
        <v>5776134.29</v>
      </c>
      <c r="G184" s="733">
        <v>71671577.439999998</v>
      </c>
      <c r="H184" s="733"/>
      <c r="I184" s="408">
        <f>G184-H184</f>
        <v>71671577.439999998</v>
      </c>
      <c r="J184" s="408" t="e">
        <f>IF(I184=0,"",I184/H184)</f>
        <v>#DIV/0!</v>
      </c>
      <c r="K184" s="735"/>
      <c r="L184" s="100"/>
    </row>
    <row r="185" spans="1:12" x14ac:dyDescent="0.25">
      <c r="A185" s="695" t="str">
        <f t="shared" si="58"/>
        <v>Pounds</v>
      </c>
      <c r="B185" s="620"/>
      <c r="C185" s="733"/>
      <c r="D185" s="733"/>
      <c r="E185" s="733"/>
      <c r="F185" s="733"/>
      <c r="G185" s="733"/>
      <c r="H185" s="733"/>
      <c r="I185" s="408">
        <f t="shared" si="39"/>
        <v>0</v>
      </c>
      <c r="J185" s="408" t="str">
        <f t="shared" si="40"/>
        <v/>
      </c>
      <c r="K185" s="735"/>
      <c r="L185" s="100"/>
    </row>
    <row r="186" spans="1:12" x14ac:dyDescent="0.25">
      <c r="A186" s="607" t="str">
        <f t="shared" si="58"/>
        <v>Housing</v>
      </c>
      <c r="B186" s="620"/>
      <c r="C186" s="611">
        <f t="shared" ref="C186:H186" si="70">SUM(C187:C188)</f>
        <v>58055817.759999983</v>
      </c>
      <c r="D186" s="611">
        <f t="shared" si="70"/>
        <v>90129848.361797929</v>
      </c>
      <c r="E186" s="611">
        <f t="shared" si="70"/>
        <v>147109915.36179793</v>
      </c>
      <c r="F186" s="611">
        <f t="shared" si="70"/>
        <v>5932678.3099999996</v>
      </c>
      <c r="G186" s="611">
        <f t="shared" si="70"/>
        <v>67248924.449999988</v>
      </c>
      <c r="H186" s="611">
        <f t="shared" si="70"/>
        <v>147109915.36179793</v>
      </c>
      <c r="I186" s="611">
        <f>G186-H186</f>
        <v>-79860990.911797941</v>
      </c>
      <c r="J186" s="611">
        <f>IF(I186=0,"",I186/H186)</f>
        <v>-0.54286613322691468</v>
      </c>
      <c r="K186" s="611">
        <f>SUM(K187:K188)</f>
        <v>147109915.36179793</v>
      </c>
      <c r="L186" s="100"/>
    </row>
    <row r="187" spans="1:12" x14ac:dyDescent="0.25">
      <c r="A187" s="695" t="str">
        <f t="shared" si="58"/>
        <v>Housing</v>
      </c>
      <c r="B187" s="620"/>
      <c r="C187" s="733">
        <v>58055817.759999983</v>
      </c>
      <c r="D187" s="733">
        <v>90129848.361797929</v>
      </c>
      <c r="E187" s="733">
        <v>147109915.36179793</v>
      </c>
      <c r="F187" s="733">
        <v>5932678.3099999996</v>
      </c>
      <c r="G187" s="733">
        <v>67248924.449999988</v>
      </c>
      <c r="H187" s="733">
        <f>E187/12*12</f>
        <v>147109915.36179793</v>
      </c>
      <c r="I187" s="408">
        <f>G187-H187</f>
        <v>-79860990.911797941</v>
      </c>
      <c r="J187" s="408">
        <f>IF(I187=0,"",I187/H187)</f>
        <v>-0.54286613322691468</v>
      </c>
      <c r="K187" s="735">
        <f t="shared" ref="K187" si="71">E187</f>
        <v>147109915.36179793</v>
      </c>
      <c r="L187" s="100"/>
    </row>
    <row r="188" spans="1:12" x14ac:dyDescent="0.25">
      <c r="A188" s="695" t="str">
        <f t="shared" si="58"/>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8"/>
        <v>Health</v>
      </c>
      <c r="B189" s="620"/>
      <c r="C189" s="611">
        <f t="shared" ref="C189:K189" si="72">SUM(C190:C196)</f>
        <v>5469235.5399999991</v>
      </c>
      <c r="D189" s="611">
        <f t="shared" si="72"/>
        <v>273885.02793777513</v>
      </c>
      <c r="E189" s="611">
        <f t="shared" si="72"/>
        <v>273885.02793777513</v>
      </c>
      <c r="F189" s="611">
        <f t="shared" si="72"/>
        <v>770646.56999999972</v>
      </c>
      <c r="G189" s="611">
        <f t="shared" si="72"/>
        <v>9439803.2199999988</v>
      </c>
      <c r="H189" s="611">
        <f t="shared" si="72"/>
        <v>273885.02793777513</v>
      </c>
      <c r="I189" s="611">
        <f t="shared" si="39"/>
        <v>9165918.1920622233</v>
      </c>
      <c r="J189" s="611">
        <f t="shared" si="40"/>
        <v>33.466298837425533</v>
      </c>
      <c r="K189" s="614">
        <f t="shared" si="72"/>
        <v>273885.02793777513</v>
      </c>
      <c r="L189" s="100"/>
    </row>
    <row r="190" spans="1:12" x14ac:dyDescent="0.25">
      <c r="A190" s="695" t="str">
        <f t="shared" si="58"/>
        <v>Ambulance</v>
      </c>
      <c r="B190" s="620"/>
      <c r="C190" s="733"/>
      <c r="D190" s="733"/>
      <c r="E190" s="733"/>
      <c r="F190" s="733"/>
      <c r="G190" s="733"/>
      <c r="H190" s="733"/>
      <c r="I190" s="408">
        <f t="shared" si="39"/>
        <v>0</v>
      </c>
      <c r="J190" s="408" t="str">
        <f t="shared" si="40"/>
        <v/>
      </c>
      <c r="K190" s="735"/>
      <c r="L190" s="100"/>
    </row>
    <row r="191" spans="1:12" x14ac:dyDescent="0.25">
      <c r="A191" s="695" t="str">
        <f t="shared" si="58"/>
        <v>Health Services</v>
      </c>
      <c r="B191" s="620"/>
      <c r="C191" s="733">
        <v>5469235.5399999991</v>
      </c>
      <c r="D191" s="733">
        <v>273885.02793777513</v>
      </c>
      <c r="E191" s="733">
        <v>273885.02793777513</v>
      </c>
      <c r="F191" s="733">
        <v>770646.56999999972</v>
      </c>
      <c r="G191" s="733">
        <v>9439803.2199999988</v>
      </c>
      <c r="H191" s="733">
        <f>E191/12*12</f>
        <v>273885.02793777513</v>
      </c>
      <c r="I191" s="408">
        <f t="shared" si="39"/>
        <v>9165918.1920622233</v>
      </c>
      <c r="J191" s="408">
        <f t="shared" si="40"/>
        <v>33.466298837425533</v>
      </c>
      <c r="K191" s="735">
        <f t="shared" ref="K191" si="73">E191</f>
        <v>273885.02793777513</v>
      </c>
      <c r="L191" s="100"/>
    </row>
    <row r="192" spans="1:12" x14ac:dyDescent="0.25">
      <c r="A192" s="695" t="str">
        <f t="shared" ref="A192:A223" si="74">A70</f>
        <v>Laboratory Services</v>
      </c>
      <c r="B192" s="620"/>
      <c r="C192" s="733"/>
      <c r="D192" s="733"/>
      <c r="E192" s="733"/>
      <c r="F192" s="733"/>
      <c r="G192" s="733"/>
      <c r="H192" s="733"/>
      <c r="I192" s="408">
        <f t="shared" si="39"/>
        <v>0</v>
      </c>
      <c r="J192" s="408" t="str">
        <f t="shared" si="40"/>
        <v/>
      </c>
      <c r="K192" s="735"/>
      <c r="L192" s="100"/>
    </row>
    <row r="193" spans="1:12" x14ac:dyDescent="0.25">
      <c r="A193" s="695" t="str">
        <f t="shared" si="74"/>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4"/>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4"/>
        <v>Vector Control</v>
      </c>
      <c r="B195" s="620"/>
      <c r="C195" s="733"/>
      <c r="D195" s="733"/>
      <c r="E195" s="733"/>
      <c r="F195" s="733"/>
      <c r="G195" s="733"/>
      <c r="H195" s="733"/>
      <c r="I195" s="408">
        <f t="shared" si="39"/>
        <v>0</v>
      </c>
      <c r="J195" s="408" t="str">
        <f t="shared" si="40"/>
        <v/>
      </c>
      <c r="K195" s="735"/>
      <c r="L195" s="100"/>
    </row>
    <row r="196" spans="1:12" x14ac:dyDescent="0.25">
      <c r="A196" s="695" t="str">
        <f t="shared" si="74"/>
        <v>Chemical Safety</v>
      </c>
      <c r="B196" s="620"/>
      <c r="C196" s="733"/>
      <c r="D196" s="733"/>
      <c r="E196" s="733"/>
      <c r="F196" s="733"/>
      <c r="G196" s="733"/>
      <c r="H196" s="733"/>
      <c r="I196" s="408">
        <f t="shared" si="39"/>
        <v>0</v>
      </c>
      <c r="J196" s="408" t="str">
        <f t="shared" si="40"/>
        <v/>
      </c>
      <c r="K196" s="735"/>
      <c r="L196" s="100"/>
    </row>
    <row r="197" spans="1:12" x14ac:dyDescent="0.25">
      <c r="A197" s="414" t="str">
        <f t="shared" si="74"/>
        <v>Economic and environmental services</v>
      </c>
      <c r="B197" s="620"/>
      <c r="C197" s="605">
        <f t="shared" ref="C197:H197" si="75">C198+C209+C214</f>
        <v>326641282.88000005</v>
      </c>
      <c r="D197" s="605">
        <f t="shared" si="75"/>
        <v>288173315.58344549</v>
      </c>
      <c r="E197" s="605">
        <f t="shared" si="75"/>
        <v>294605680.61754364</v>
      </c>
      <c r="F197" s="605">
        <f t="shared" si="75"/>
        <v>32110902.560000002</v>
      </c>
      <c r="G197" s="605">
        <f t="shared" si="75"/>
        <v>329154764.61999989</v>
      </c>
      <c r="H197" s="605">
        <f t="shared" si="75"/>
        <v>294605680.61754364</v>
      </c>
      <c r="I197" s="605">
        <f t="shared" si="39"/>
        <v>34549084.002456248</v>
      </c>
      <c r="J197" s="605">
        <f t="shared" si="40"/>
        <v>0.11727229403735695</v>
      </c>
      <c r="K197" s="606">
        <f>K198+K209+K214</f>
        <v>294605680.61754364</v>
      </c>
      <c r="L197" s="100"/>
    </row>
    <row r="198" spans="1:12" x14ac:dyDescent="0.25">
      <c r="A198" s="607" t="str">
        <f t="shared" si="74"/>
        <v>Planning and development</v>
      </c>
      <c r="B198" s="620"/>
      <c r="C198" s="611">
        <f t="shared" ref="C198:K198" si="76">SUM(C199:C208)</f>
        <v>83509759.390000015</v>
      </c>
      <c r="D198" s="611">
        <f t="shared" si="76"/>
        <v>92239503.875528902</v>
      </c>
      <c r="E198" s="611">
        <f t="shared" si="76"/>
        <v>94069123.875528887</v>
      </c>
      <c r="F198" s="611">
        <f t="shared" si="76"/>
        <v>10145555.199999999</v>
      </c>
      <c r="G198" s="611">
        <f t="shared" si="76"/>
        <v>71329435.149999991</v>
      </c>
      <c r="H198" s="611">
        <f t="shared" si="76"/>
        <v>94069123.875528887</v>
      </c>
      <c r="I198" s="611">
        <f t="shared" si="39"/>
        <v>-22739688.725528896</v>
      </c>
      <c r="J198" s="611">
        <f t="shared" si="40"/>
        <v>-0.24173382071271093</v>
      </c>
      <c r="K198" s="614">
        <f t="shared" si="76"/>
        <v>94069123.875528887</v>
      </c>
      <c r="L198" s="100"/>
    </row>
    <row r="199" spans="1:12" x14ac:dyDescent="0.25">
      <c r="A199" s="695" t="str">
        <f t="shared" si="74"/>
        <v>Billboards</v>
      </c>
      <c r="B199" s="620"/>
      <c r="C199" s="733"/>
      <c r="D199" s="733"/>
      <c r="E199" s="733"/>
      <c r="F199" s="733"/>
      <c r="G199" s="733"/>
      <c r="H199" s="733"/>
      <c r="I199" s="408">
        <f t="shared" si="39"/>
        <v>0</v>
      </c>
      <c r="J199" s="408" t="str">
        <f t="shared" si="40"/>
        <v/>
      </c>
      <c r="K199" s="735"/>
      <c r="L199" s="100"/>
    </row>
    <row r="200" spans="1:12" ht="22.5" x14ac:dyDescent="0.25">
      <c r="A200" s="695" t="str">
        <f t="shared" si="74"/>
        <v>Corporate Wide Strategic Planning (IDPs, LEDs)</v>
      </c>
      <c r="B200" s="620"/>
      <c r="C200" s="733">
        <v>5500706.7299999995</v>
      </c>
      <c r="D200" s="733">
        <v>12848610.792359998</v>
      </c>
      <c r="E200" s="733">
        <v>12930492.792359998</v>
      </c>
      <c r="F200" s="733">
        <v>466661.23000000004</v>
      </c>
      <c r="G200" s="733">
        <v>6768887.839999998</v>
      </c>
      <c r="H200" s="733">
        <f>E200/12*12</f>
        <v>12930492.792359998</v>
      </c>
      <c r="I200" s="408">
        <f t="shared" si="39"/>
        <v>-6161604.9523600005</v>
      </c>
      <c r="J200" s="408">
        <f t="shared" si="40"/>
        <v>-0.47651741130860797</v>
      </c>
      <c r="K200" s="735">
        <f t="shared" ref="K200" si="77">E200</f>
        <v>12930492.792359998</v>
      </c>
      <c r="L200" s="100"/>
    </row>
    <row r="201" spans="1:12" x14ac:dyDescent="0.25">
      <c r="A201" s="695" t="str">
        <f t="shared" si="74"/>
        <v>Central City Improvement District</v>
      </c>
      <c r="B201" s="620"/>
      <c r="C201" s="733"/>
      <c r="D201" s="733"/>
      <c r="E201" s="733">
        <v>0</v>
      </c>
      <c r="F201" s="733"/>
      <c r="G201" s="733"/>
      <c r="H201" s="733"/>
      <c r="I201" s="408">
        <f t="shared" si="39"/>
        <v>0</v>
      </c>
      <c r="J201" s="408" t="str">
        <f t="shared" si="40"/>
        <v/>
      </c>
      <c r="K201" s="735"/>
      <c r="L201" s="100"/>
    </row>
    <row r="202" spans="1:12" x14ac:dyDescent="0.25">
      <c r="A202" s="695" t="str">
        <f t="shared" si="74"/>
        <v>Development Facilitation</v>
      </c>
      <c r="B202" s="620"/>
      <c r="C202" s="733"/>
      <c r="D202" s="733"/>
      <c r="E202" s="733">
        <v>0</v>
      </c>
      <c r="F202" s="733"/>
      <c r="G202" s="733"/>
      <c r="H202" s="733"/>
      <c r="I202" s="408">
        <f>G202-H202</f>
        <v>0</v>
      </c>
      <c r="J202" s="408" t="str">
        <f>IF(I202=0,"",I202/H202)</f>
        <v/>
      </c>
      <c r="K202" s="735"/>
      <c r="L202" s="100"/>
    </row>
    <row r="203" spans="1:12" x14ac:dyDescent="0.25">
      <c r="A203" s="695" t="str">
        <f t="shared" si="74"/>
        <v>Economic Development/Planning</v>
      </c>
      <c r="B203" s="620"/>
      <c r="C203" s="733">
        <v>13287784.870000005</v>
      </c>
      <c r="D203" s="733">
        <v>12958288.606480801</v>
      </c>
      <c r="E203" s="733">
        <v>12958288.606480801</v>
      </c>
      <c r="F203" s="733">
        <v>2067961.7</v>
      </c>
      <c r="G203" s="733">
        <v>9634043.7500000019</v>
      </c>
      <c r="H203" s="733">
        <f>E203/12*12</f>
        <v>12958288.6064808</v>
      </c>
      <c r="I203" s="408">
        <f>G203-H203</f>
        <v>-3324244.8564807978</v>
      </c>
      <c r="J203" s="408">
        <f>IF(I203=0,"",I203/H203)</f>
        <v>-0.25653425058138085</v>
      </c>
      <c r="K203" s="735">
        <f t="shared" ref="K203" si="78">E203</f>
        <v>12958288.606480801</v>
      </c>
      <c r="L203" s="100"/>
    </row>
    <row r="204" spans="1:12" x14ac:dyDescent="0.25">
      <c r="A204" s="695" t="str">
        <f t="shared" si="74"/>
        <v>Regional Planning and Development</v>
      </c>
      <c r="B204" s="620"/>
      <c r="C204" s="733"/>
      <c r="D204" s="733"/>
      <c r="E204" s="733">
        <v>0</v>
      </c>
      <c r="F204" s="733"/>
      <c r="G204" s="733"/>
      <c r="H204" s="733"/>
      <c r="I204" s="408">
        <f>G204-H204</f>
        <v>0</v>
      </c>
      <c r="J204" s="408" t="str">
        <f>IF(I204=0,"",I204/H204)</f>
        <v/>
      </c>
      <c r="K204" s="735"/>
      <c r="L204" s="100"/>
    </row>
    <row r="205" spans="1:12" ht="22.5" x14ac:dyDescent="0.25">
      <c r="A205" s="695" t="str">
        <f t="shared" si="74"/>
        <v>Town Planning, Building Regulations and Enforcement, and City Engineer</v>
      </c>
      <c r="B205" s="620"/>
      <c r="C205" s="733">
        <v>64721267.790000007</v>
      </c>
      <c r="D205" s="733">
        <v>66432604.476688094</v>
      </c>
      <c r="E205" s="733">
        <v>68180342.476688087</v>
      </c>
      <c r="F205" s="733">
        <v>7610932.2699999996</v>
      </c>
      <c r="G205" s="733">
        <v>54926503.559999995</v>
      </c>
      <c r="H205" s="733">
        <f>E205/12*12</f>
        <v>68180342.476688087</v>
      </c>
      <c r="I205" s="408">
        <f>G205-H205</f>
        <v>-13253838.916688092</v>
      </c>
      <c r="J205" s="408">
        <f>IF(I205=0,"",I205/H205)</f>
        <v>-0.19439384484200536</v>
      </c>
      <c r="K205" s="735">
        <f t="shared" ref="K205" si="79">E205</f>
        <v>68180342.476688087</v>
      </c>
      <c r="L205" s="100"/>
    </row>
    <row r="206" spans="1:12" x14ac:dyDescent="0.25">
      <c r="A206" s="695" t="str">
        <f t="shared" si="74"/>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4"/>
        <v>Provincial Planning</v>
      </c>
      <c r="B207" s="620"/>
      <c r="C207" s="733"/>
      <c r="D207" s="733"/>
      <c r="E207" s="733"/>
      <c r="F207" s="733"/>
      <c r="G207" s="733"/>
      <c r="H207" s="733"/>
      <c r="I207" s="408">
        <f t="shared" si="39"/>
        <v>0</v>
      </c>
      <c r="J207" s="408" t="str">
        <f t="shared" si="40"/>
        <v/>
      </c>
      <c r="K207" s="735"/>
      <c r="L207" s="100"/>
    </row>
    <row r="208" spans="1:12" x14ac:dyDescent="0.25">
      <c r="A208" s="695" t="str">
        <f t="shared" si="74"/>
        <v>Support to Local Municipalities</v>
      </c>
      <c r="B208" s="620"/>
      <c r="C208" s="733"/>
      <c r="D208" s="733"/>
      <c r="E208" s="733"/>
      <c r="F208" s="733"/>
      <c r="G208" s="733"/>
      <c r="H208" s="733"/>
      <c r="I208" s="408">
        <f t="shared" si="39"/>
        <v>0</v>
      </c>
      <c r="J208" s="408" t="str">
        <f t="shared" si="40"/>
        <v/>
      </c>
      <c r="K208" s="735"/>
      <c r="L208" s="100"/>
    </row>
    <row r="209" spans="1:12" x14ac:dyDescent="0.25">
      <c r="A209" s="607" t="str">
        <f t="shared" si="74"/>
        <v>Road transport</v>
      </c>
      <c r="B209" s="620"/>
      <c r="C209" s="611">
        <f t="shared" ref="C209:H209" si="80">SUM(C210:C213)</f>
        <v>222698043.43000001</v>
      </c>
      <c r="D209" s="611">
        <f t="shared" si="80"/>
        <v>171068986.74871668</v>
      </c>
      <c r="E209" s="611">
        <f t="shared" si="80"/>
        <v>175671731.78281486</v>
      </c>
      <c r="F209" s="611">
        <f t="shared" si="80"/>
        <v>20213443.160000004</v>
      </c>
      <c r="G209" s="611">
        <f t="shared" si="80"/>
        <v>236933944.49999994</v>
      </c>
      <c r="H209" s="611">
        <f t="shared" si="80"/>
        <v>175671731.78281486</v>
      </c>
      <c r="I209" s="611">
        <f t="shared" si="39"/>
        <v>61262212.71718508</v>
      </c>
      <c r="J209" s="611">
        <f t="shared" si="40"/>
        <v>0.34873119366139288</v>
      </c>
      <c r="K209" s="614">
        <f>SUM(K210:K213)</f>
        <v>175671731.78281486</v>
      </c>
      <c r="L209" s="100"/>
    </row>
    <row r="210" spans="1:12" x14ac:dyDescent="0.25">
      <c r="A210" s="695" t="str">
        <f t="shared" si="74"/>
        <v>Public Transport</v>
      </c>
      <c r="B210" s="620"/>
      <c r="C210" s="733">
        <v>6531463.5099999988</v>
      </c>
      <c r="D210" s="733">
        <v>6112737.5899952119</v>
      </c>
      <c r="E210" s="733">
        <v>12141552.624093361</v>
      </c>
      <c r="F210" s="733">
        <v>822117.82000000007</v>
      </c>
      <c r="G210" s="733">
        <v>7935657.5499999998</v>
      </c>
      <c r="H210" s="733">
        <f t="shared" ref="H210:H213" si="81">E210/12*12</f>
        <v>12141552.624093361</v>
      </c>
      <c r="I210" s="408">
        <f t="shared" si="39"/>
        <v>-4205895.0740933614</v>
      </c>
      <c r="J210" s="408">
        <f t="shared" si="40"/>
        <v>-0.34640504425663809</v>
      </c>
      <c r="K210" s="735">
        <f t="shared" ref="K210:K213" si="82">E210</f>
        <v>12141552.624093361</v>
      </c>
      <c r="L210" s="100"/>
    </row>
    <row r="211" spans="1:12" x14ac:dyDescent="0.25">
      <c r="A211" s="695" t="str">
        <f t="shared" si="74"/>
        <v>Road and Traffic Regulation</v>
      </c>
      <c r="B211" s="620"/>
      <c r="C211" s="733"/>
      <c r="D211" s="733">
        <v>75071897.514813796</v>
      </c>
      <c r="E211" s="733">
        <v>75071897.514813796</v>
      </c>
      <c r="F211" s="733"/>
      <c r="G211" s="733"/>
      <c r="H211" s="733">
        <f t="shared" si="81"/>
        <v>75071897.514813796</v>
      </c>
      <c r="I211" s="408">
        <f>G211-H211</f>
        <v>-75071897.514813796</v>
      </c>
      <c r="J211" s="408">
        <f>IF(I211=0,"",I211/H211)</f>
        <v>-1</v>
      </c>
      <c r="K211" s="735">
        <f t="shared" si="82"/>
        <v>75071897.514813796</v>
      </c>
      <c r="L211" s="100"/>
    </row>
    <row r="212" spans="1:12" x14ac:dyDescent="0.25">
      <c r="A212" s="695" t="str">
        <f t="shared" si="74"/>
        <v>Roads</v>
      </c>
      <c r="B212" s="620"/>
      <c r="C212" s="733">
        <v>213742671.55000001</v>
      </c>
      <c r="D212" s="733">
        <v>86766270.60115768</v>
      </c>
      <c r="E212" s="733">
        <v>84823952.60115768</v>
      </c>
      <c r="F212" s="733">
        <v>19092866.490000002</v>
      </c>
      <c r="G212" s="733">
        <v>226554335.12999994</v>
      </c>
      <c r="H212" s="733">
        <f t="shared" si="81"/>
        <v>84823952.60115768</v>
      </c>
      <c r="I212" s="408">
        <f t="shared" si="39"/>
        <v>141730382.52884227</v>
      </c>
      <c r="J212" s="408">
        <f t="shared" si="40"/>
        <v>1.6708768948230777</v>
      </c>
      <c r="K212" s="735">
        <f t="shared" si="82"/>
        <v>84823952.60115768</v>
      </c>
      <c r="L212" s="100"/>
    </row>
    <row r="213" spans="1:12" x14ac:dyDescent="0.25">
      <c r="A213" s="695" t="str">
        <f t="shared" si="74"/>
        <v>Taxi Ranks</v>
      </c>
      <c r="B213" s="620"/>
      <c r="C213" s="733">
        <v>2423908.37</v>
      </c>
      <c r="D213" s="733">
        <v>3118081.04275</v>
      </c>
      <c r="E213" s="733">
        <v>3634329.04275</v>
      </c>
      <c r="F213" s="733">
        <v>298458.84999999998</v>
      </c>
      <c r="G213" s="733">
        <v>2443951.8199999994</v>
      </c>
      <c r="H213" s="733">
        <f t="shared" si="81"/>
        <v>3634329.04275</v>
      </c>
      <c r="I213" s="408">
        <f t="shared" si="39"/>
        <v>-1190377.2227500007</v>
      </c>
      <c r="J213" s="408">
        <f t="shared" si="40"/>
        <v>-0.32753699754419424</v>
      </c>
      <c r="K213" s="735">
        <f t="shared" si="82"/>
        <v>3634329.04275</v>
      </c>
      <c r="L213" s="100"/>
    </row>
    <row r="214" spans="1:12" x14ac:dyDescent="0.25">
      <c r="A214" s="607" t="str">
        <f t="shared" si="74"/>
        <v>Environmental protection</v>
      </c>
      <c r="B214" s="620"/>
      <c r="C214" s="611">
        <f t="shared" ref="C214:K214" si="83">SUM(C215:C220)</f>
        <v>20433480.060000002</v>
      </c>
      <c r="D214" s="611">
        <f t="shared" si="83"/>
        <v>24864824.959199883</v>
      </c>
      <c r="E214" s="611">
        <f t="shared" si="83"/>
        <v>24864824.959199883</v>
      </c>
      <c r="F214" s="611">
        <f t="shared" si="83"/>
        <v>1751904.2000000002</v>
      </c>
      <c r="G214" s="611">
        <f t="shared" si="83"/>
        <v>20891384.969999999</v>
      </c>
      <c r="H214" s="611">
        <f t="shared" si="83"/>
        <v>24864824.959199883</v>
      </c>
      <c r="I214" s="611">
        <f t="shared" si="39"/>
        <v>-3973439.9891998842</v>
      </c>
      <c r="J214" s="611">
        <f t="shared" si="40"/>
        <v>-0.15980164733593782</v>
      </c>
      <c r="K214" s="614">
        <f t="shared" si="83"/>
        <v>24864824.959199883</v>
      </c>
      <c r="L214" s="100"/>
    </row>
    <row r="215" spans="1:12" x14ac:dyDescent="0.25">
      <c r="A215" s="695" t="str">
        <f t="shared" si="74"/>
        <v>Biodiversity and Landscape</v>
      </c>
      <c r="B215" s="620"/>
      <c r="C215" s="733"/>
      <c r="D215" s="733"/>
      <c r="E215" s="733"/>
      <c r="F215" s="733"/>
      <c r="G215" s="733"/>
      <c r="H215" s="733"/>
      <c r="I215" s="408">
        <f t="shared" si="39"/>
        <v>0</v>
      </c>
      <c r="J215" s="408" t="str">
        <f t="shared" si="40"/>
        <v/>
      </c>
      <c r="K215" s="735"/>
      <c r="L215" s="100"/>
    </row>
    <row r="216" spans="1:12" x14ac:dyDescent="0.25">
      <c r="A216" s="695" t="str">
        <f t="shared" si="74"/>
        <v>Coastal Protection</v>
      </c>
      <c r="B216" s="620"/>
      <c r="C216" s="733"/>
      <c r="D216" s="733"/>
      <c r="E216" s="733"/>
      <c r="F216" s="733"/>
      <c r="G216" s="733"/>
      <c r="H216" s="733"/>
      <c r="I216" s="408">
        <f t="shared" si="39"/>
        <v>0</v>
      </c>
      <c r="J216" s="408" t="str">
        <f t="shared" si="40"/>
        <v/>
      </c>
      <c r="K216" s="735"/>
      <c r="L216" s="100"/>
    </row>
    <row r="217" spans="1:12" x14ac:dyDescent="0.25">
      <c r="A217" s="695" t="str">
        <f t="shared" si="74"/>
        <v>Indigenous Forests</v>
      </c>
      <c r="B217" s="620"/>
      <c r="C217" s="733"/>
      <c r="D217" s="733"/>
      <c r="E217" s="733"/>
      <c r="F217" s="733"/>
      <c r="G217" s="733"/>
      <c r="H217" s="733"/>
      <c r="I217" s="408">
        <f t="shared" si="39"/>
        <v>0</v>
      </c>
      <c r="J217" s="408" t="str">
        <f t="shared" si="40"/>
        <v/>
      </c>
      <c r="K217" s="735"/>
      <c r="L217" s="100"/>
    </row>
    <row r="218" spans="1:12" x14ac:dyDescent="0.25">
      <c r="A218" s="695" t="str">
        <f t="shared" si="74"/>
        <v>Nature Conservation</v>
      </c>
      <c r="B218" s="620"/>
      <c r="C218" s="733">
        <v>4966902.9400000004</v>
      </c>
      <c r="D218" s="733">
        <v>7953351.9763347059</v>
      </c>
      <c r="E218" s="733">
        <v>7953351.9763347059</v>
      </c>
      <c r="F218" s="733">
        <v>336642.85</v>
      </c>
      <c r="G218" s="733">
        <v>4261837.1400000006</v>
      </c>
      <c r="H218" s="733">
        <f t="shared" ref="H218:H219" si="84">E218/12*12</f>
        <v>7953351.9763347059</v>
      </c>
      <c r="I218" s="408">
        <f>G218-H218</f>
        <v>-3691514.8363347054</v>
      </c>
      <c r="J218" s="408">
        <f>IF(I218=0,"",I218/H218)</f>
        <v>-0.46414579001644235</v>
      </c>
      <c r="K218" s="735">
        <f t="shared" ref="K218:K219" si="85">E218</f>
        <v>7953351.9763347059</v>
      </c>
      <c r="L218" s="100"/>
    </row>
    <row r="219" spans="1:12" x14ac:dyDescent="0.25">
      <c r="A219" s="695" t="str">
        <f t="shared" si="74"/>
        <v>Pollution Control</v>
      </c>
      <c r="B219" s="620"/>
      <c r="C219" s="733">
        <v>15466577.120000001</v>
      </c>
      <c r="D219" s="733">
        <v>16911472.982865177</v>
      </c>
      <c r="E219" s="733">
        <v>16911472.982865177</v>
      </c>
      <c r="F219" s="733">
        <v>1415261.35</v>
      </c>
      <c r="G219" s="733">
        <v>16629547.829999998</v>
      </c>
      <c r="H219" s="733">
        <f t="shared" si="84"/>
        <v>16911472.982865177</v>
      </c>
      <c r="I219" s="408">
        <f>G219-H219</f>
        <v>-281925.15286517888</v>
      </c>
      <c r="J219" s="408">
        <f>IF(I219=0,"",I219/H219)</f>
        <v>-1.6670644428834046E-2</v>
      </c>
      <c r="K219" s="735">
        <f t="shared" si="85"/>
        <v>16911472.982865177</v>
      </c>
      <c r="L219" s="100"/>
    </row>
    <row r="220" spans="1:12" x14ac:dyDescent="0.25">
      <c r="A220" s="695" t="str">
        <f t="shared" si="74"/>
        <v>Soil Conservation</v>
      </c>
      <c r="B220" s="620"/>
      <c r="C220" s="733"/>
      <c r="D220" s="733">
        <v>0</v>
      </c>
      <c r="E220" s="733"/>
      <c r="F220" s="733"/>
      <c r="G220" s="733"/>
      <c r="H220" s="733"/>
      <c r="I220" s="408">
        <f t="shared" si="39"/>
        <v>0</v>
      </c>
      <c r="J220" s="408" t="str">
        <f t="shared" si="40"/>
        <v/>
      </c>
      <c r="K220" s="735"/>
      <c r="L220" s="100"/>
    </row>
    <row r="221" spans="1:12" x14ac:dyDescent="0.25">
      <c r="A221" s="414" t="str">
        <f t="shared" si="74"/>
        <v>Trading services</v>
      </c>
      <c r="B221" s="620"/>
      <c r="C221" s="605">
        <f>C222+C226+C230+C235</f>
        <v>3649462488.5699983</v>
      </c>
      <c r="D221" s="605">
        <f t="shared" ref="D221:I221" si="86">D222+D226+D230+D235</f>
        <v>3353046546.6774907</v>
      </c>
      <c r="E221" s="605">
        <f t="shared" si="86"/>
        <v>3358591185.4474902</v>
      </c>
      <c r="F221" s="605">
        <f t="shared" si="86"/>
        <v>419011488.99000013</v>
      </c>
      <c r="G221" s="605">
        <f t="shared" si="86"/>
        <v>3474444720.4300008</v>
      </c>
      <c r="H221" s="605">
        <f t="shared" si="86"/>
        <v>3358591185.4474902</v>
      </c>
      <c r="I221" s="605">
        <f t="shared" si="86"/>
        <v>115853534.98251034</v>
      </c>
      <c r="J221" s="605">
        <f t="shared" si="40"/>
        <v>3.4494682021585281E-2</v>
      </c>
      <c r="K221" s="606">
        <f>K222+K226+K230+K235</f>
        <v>3358591185.4474902</v>
      </c>
      <c r="L221" s="100"/>
    </row>
    <row r="222" spans="1:12" x14ac:dyDescent="0.25">
      <c r="A222" s="607" t="str">
        <f t="shared" si="74"/>
        <v>Energy sources</v>
      </c>
      <c r="B222" s="620"/>
      <c r="C222" s="611">
        <f t="shared" ref="C222:K222" si="87">SUM(C223:C225)</f>
        <v>2064060141.4699986</v>
      </c>
      <c r="D222" s="611">
        <f t="shared" si="87"/>
        <v>2291332272.7237678</v>
      </c>
      <c r="E222" s="611">
        <f t="shared" si="87"/>
        <v>2205525042.7237678</v>
      </c>
      <c r="F222" s="611">
        <f t="shared" si="87"/>
        <v>281658061.48000008</v>
      </c>
      <c r="G222" s="611">
        <f t="shared" si="87"/>
        <v>2169997385.6400008</v>
      </c>
      <c r="H222" s="611">
        <f t="shared" si="87"/>
        <v>2205525042.7237678</v>
      </c>
      <c r="I222" s="611">
        <f t="shared" si="39"/>
        <v>-35527657.083766937</v>
      </c>
      <c r="J222" s="611">
        <f t="shared" si="40"/>
        <v>-1.6108480473153539E-2</v>
      </c>
      <c r="K222" s="614">
        <f t="shared" si="87"/>
        <v>2205525042.7237678</v>
      </c>
      <c r="L222" s="100"/>
    </row>
    <row r="223" spans="1:12" x14ac:dyDescent="0.25">
      <c r="A223" s="695" t="str">
        <f t="shared" si="74"/>
        <v xml:space="preserve">Electricity </v>
      </c>
      <c r="B223" s="620"/>
      <c r="C223" s="733">
        <v>2042085115.6899986</v>
      </c>
      <c r="D223" s="733">
        <v>2270836245.4232864</v>
      </c>
      <c r="E223" s="733">
        <v>2184302100.4232864</v>
      </c>
      <c r="F223" s="733">
        <v>273516829.4000001</v>
      </c>
      <c r="G223" s="733">
        <v>2139745354.5300009</v>
      </c>
      <c r="H223" s="733">
        <f t="shared" ref="H223:H224" si="88">E223/12*12</f>
        <v>2184302100.4232864</v>
      </c>
      <c r="I223" s="408">
        <f t="shared" si="39"/>
        <v>-44556745.893285513</v>
      </c>
      <c r="J223" s="408">
        <f t="shared" si="40"/>
        <v>-2.0398618801241393E-2</v>
      </c>
      <c r="K223" s="735">
        <f t="shared" ref="K223:K224" si="89">E223</f>
        <v>2184302100.4232864</v>
      </c>
      <c r="L223" s="100"/>
    </row>
    <row r="224" spans="1:12" x14ac:dyDescent="0.25">
      <c r="A224" s="695" t="str">
        <f t="shared" ref="A224:A246" si="90">A102</f>
        <v>Street Lighting and Signal Systems</v>
      </c>
      <c r="B224" s="620"/>
      <c r="C224" s="733">
        <v>21975025.780000001</v>
      </c>
      <c r="D224" s="733">
        <v>20496027.300481234</v>
      </c>
      <c r="E224" s="733">
        <v>21222942.300481234</v>
      </c>
      <c r="F224" s="733">
        <v>8141232.0800000001</v>
      </c>
      <c r="G224" s="733">
        <v>30252031.109999999</v>
      </c>
      <c r="H224" s="733">
        <f t="shared" si="88"/>
        <v>21222942.300481234</v>
      </c>
      <c r="I224" s="408">
        <f>G224-H224</f>
        <v>9029088.8095187657</v>
      </c>
      <c r="J224" s="408">
        <f>IF(I224=0,"",I224/H224)</f>
        <v>0.42544001117667973</v>
      </c>
      <c r="K224" s="735">
        <f t="shared" si="89"/>
        <v>21222942.300481234</v>
      </c>
      <c r="L224" s="100"/>
    </row>
    <row r="225" spans="1:12" x14ac:dyDescent="0.25">
      <c r="A225" s="695" t="str">
        <f t="shared" si="90"/>
        <v>Nonelectric Energy</v>
      </c>
      <c r="B225" s="620"/>
      <c r="C225" s="733"/>
      <c r="D225" s="733">
        <v>0</v>
      </c>
      <c r="E225" s="733"/>
      <c r="F225" s="733"/>
      <c r="G225" s="733"/>
      <c r="H225" s="733"/>
      <c r="I225" s="408">
        <f t="shared" si="39"/>
        <v>0</v>
      </c>
      <c r="J225" s="408" t="str">
        <f t="shared" si="40"/>
        <v/>
      </c>
      <c r="K225" s="735"/>
      <c r="L225" s="100"/>
    </row>
    <row r="226" spans="1:12" x14ac:dyDescent="0.25">
      <c r="A226" s="607" t="str">
        <f t="shared" si="90"/>
        <v>Water management</v>
      </c>
      <c r="B226" s="620"/>
      <c r="C226" s="611">
        <f t="shared" ref="C226:K226" si="91">SUM(C227:C229)</f>
        <v>1207807520.1199999</v>
      </c>
      <c r="D226" s="611">
        <f t="shared" si="91"/>
        <v>0</v>
      </c>
      <c r="E226" s="611">
        <f t="shared" si="91"/>
        <v>31023406.77</v>
      </c>
      <c r="F226" s="611">
        <f t="shared" si="91"/>
        <v>104952613.17000002</v>
      </c>
      <c r="G226" s="611">
        <f t="shared" si="91"/>
        <v>933960139.24000001</v>
      </c>
      <c r="H226" s="611">
        <f t="shared" si="91"/>
        <v>31023406.77</v>
      </c>
      <c r="I226" s="611">
        <f t="shared" si="39"/>
        <v>902936732.47000003</v>
      </c>
      <c r="J226" s="611">
        <f t="shared" si="40"/>
        <v>29.105015421554235</v>
      </c>
      <c r="K226" s="614">
        <f t="shared" si="91"/>
        <v>31023406.77</v>
      </c>
      <c r="L226" s="100"/>
    </row>
    <row r="227" spans="1:12" x14ac:dyDescent="0.25">
      <c r="A227" s="695" t="str">
        <f t="shared" si="90"/>
        <v>Water Treatment</v>
      </c>
      <c r="B227" s="620"/>
      <c r="C227" s="733"/>
      <c r="D227" s="733"/>
      <c r="E227" s="733"/>
      <c r="F227" s="733"/>
      <c r="G227" s="733"/>
      <c r="H227" s="733"/>
      <c r="I227" s="408">
        <f t="shared" si="39"/>
        <v>0</v>
      </c>
      <c r="J227" s="408" t="str">
        <f t="shared" si="40"/>
        <v/>
      </c>
      <c r="K227" s="735"/>
      <c r="L227" s="100"/>
    </row>
    <row r="228" spans="1:12" x14ac:dyDescent="0.25">
      <c r="A228" s="695" t="str">
        <f t="shared" si="90"/>
        <v>Water Distribution</v>
      </c>
      <c r="B228" s="620"/>
      <c r="C228" s="733">
        <v>1207807520.1199999</v>
      </c>
      <c r="D228" s="733"/>
      <c r="E228" s="733">
        <v>31023406.77</v>
      </c>
      <c r="F228" s="733">
        <v>104952613.17000002</v>
      </c>
      <c r="G228" s="733">
        <v>933960139.24000001</v>
      </c>
      <c r="H228" s="733">
        <f>E228/12*12</f>
        <v>31023406.77</v>
      </c>
      <c r="I228" s="408">
        <f>G228-H228</f>
        <v>902936732.47000003</v>
      </c>
      <c r="J228" s="408">
        <f>IF(I228=0,"",I228/H228)</f>
        <v>29.105015421554235</v>
      </c>
      <c r="K228" s="735">
        <f t="shared" ref="K228" si="92">E228</f>
        <v>31023406.77</v>
      </c>
      <c r="L228" s="100"/>
    </row>
    <row r="229" spans="1:12" x14ac:dyDescent="0.25">
      <c r="A229" s="695" t="str">
        <f t="shared" si="90"/>
        <v>Water Storage</v>
      </c>
      <c r="B229" s="620"/>
      <c r="C229" s="733"/>
      <c r="D229" s="733"/>
      <c r="E229" s="733"/>
      <c r="F229" s="733"/>
      <c r="G229" s="733"/>
      <c r="H229" s="733"/>
      <c r="I229" s="408">
        <f t="shared" si="39"/>
        <v>0</v>
      </c>
      <c r="J229" s="408" t="str">
        <f t="shared" si="40"/>
        <v/>
      </c>
      <c r="K229" s="735"/>
      <c r="L229" s="100"/>
    </row>
    <row r="230" spans="1:12" x14ac:dyDescent="0.25">
      <c r="A230" s="607" t="str">
        <f t="shared" si="90"/>
        <v>Waste water management</v>
      </c>
      <c r="B230" s="620"/>
      <c r="C230" s="611">
        <f t="shared" ref="C230:K230" si="93">SUM(C231:C234)</f>
        <v>252760434.96000001</v>
      </c>
      <c r="D230" s="611">
        <f t="shared" si="93"/>
        <v>931929869.0260967</v>
      </c>
      <c r="E230" s="611">
        <f t="shared" si="93"/>
        <v>995608331.02609658</v>
      </c>
      <c r="F230" s="611">
        <f t="shared" si="93"/>
        <v>21775119.969999999</v>
      </c>
      <c r="G230" s="611">
        <f t="shared" si="93"/>
        <v>250867004.62</v>
      </c>
      <c r="H230" s="611">
        <f t="shared" si="93"/>
        <v>995608331.02609658</v>
      </c>
      <c r="I230" s="611">
        <f t="shared" si="39"/>
        <v>-744741326.40609658</v>
      </c>
      <c r="J230" s="611">
        <f t="shared" si="40"/>
        <v>-0.74802641078600585</v>
      </c>
      <c r="K230" s="614">
        <f t="shared" si="93"/>
        <v>995608331.02609658</v>
      </c>
      <c r="L230" s="100"/>
    </row>
    <row r="231" spans="1:12" x14ac:dyDescent="0.25">
      <c r="A231" s="695" t="str">
        <f t="shared" si="90"/>
        <v>Public Toilets</v>
      </c>
      <c r="B231" s="620"/>
      <c r="C231" s="733">
        <v>2974590.1199999996</v>
      </c>
      <c r="D231" s="733">
        <v>1325140.728374806</v>
      </c>
      <c r="E231" s="733">
        <v>1175140.728374806</v>
      </c>
      <c r="F231" s="733">
        <v>195528.2</v>
      </c>
      <c r="G231" s="733">
        <v>3144726.22</v>
      </c>
      <c r="H231" s="733">
        <f t="shared" ref="H231:H234" si="94">E231/12*12</f>
        <v>1175140.728374806</v>
      </c>
      <c r="I231" s="408">
        <f t="shared" si="39"/>
        <v>1969585.4916251942</v>
      </c>
      <c r="J231" s="408">
        <f t="shared" si="40"/>
        <v>1.676042233979149</v>
      </c>
      <c r="K231" s="735">
        <f t="shared" ref="K231:K234" si="95">E231</f>
        <v>1175140.728374806</v>
      </c>
      <c r="L231" s="100"/>
    </row>
    <row r="232" spans="1:12" x14ac:dyDescent="0.25">
      <c r="A232" s="695" t="str">
        <f t="shared" si="90"/>
        <v>Sewerage</v>
      </c>
      <c r="B232" s="620"/>
      <c r="C232" s="733">
        <v>223021252.53</v>
      </c>
      <c r="D232" s="733">
        <v>225241153.38453153</v>
      </c>
      <c r="E232" s="733">
        <v>289082095.3845315</v>
      </c>
      <c r="F232" s="733">
        <v>19517757.82</v>
      </c>
      <c r="G232" s="733">
        <v>221446413.75</v>
      </c>
      <c r="H232" s="733">
        <f t="shared" si="94"/>
        <v>289082095.3845315</v>
      </c>
      <c r="I232" s="408">
        <f t="shared" si="39"/>
        <v>-67635681.634531498</v>
      </c>
      <c r="J232" s="408">
        <f t="shared" si="40"/>
        <v>-0.2339670381334541</v>
      </c>
      <c r="K232" s="735">
        <f t="shared" si="95"/>
        <v>289082095.3845315</v>
      </c>
      <c r="L232" s="100"/>
    </row>
    <row r="233" spans="1:12" x14ac:dyDescent="0.25">
      <c r="A233" s="695" t="str">
        <f t="shared" si="90"/>
        <v>Storm Water Management</v>
      </c>
      <c r="B233" s="620"/>
      <c r="C233" s="733">
        <v>26764592.310000006</v>
      </c>
      <c r="D233" s="733">
        <v>560143.7006000001</v>
      </c>
      <c r="E233" s="733">
        <v>547663.7006000001</v>
      </c>
      <c r="F233" s="733">
        <v>2061833.9499999997</v>
      </c>
      <c r="G233" s="733">
        <v>26275864.650000006</v>
      </c>
      <c r="H233" s="733">
        <f t="shared" si="94"/>
        <v>547663.7006000001</v>
      </c>
      <c r="I233" s="408">
        <f>G233-H233</f>
        <v>25728200.949400008</v>
      </c>
      <c r="J233" s="408">
        <f>IF(I233=0,"",I233/H233)</f>
        <v>46.978101563446948</v>
      </c>
      <c r="K233" s="735">
        <f t="shared" si="95"/>
        <v>547663.7006000001</v>
      </c>
      <c r="L233" s="100"/>
    </row>
    <row r="234" spans="1:12" x14ac:dyDescent="0.25">
      <c r="A234" s="695" t="str">
        <f t="shared" si="90"/>
        <v>Waste Water Treatment</v>
      </c>
      <c r="B234" s="620"/>
      <c r="C234" s="733"/>
      <c r="D234" s="733">
        <v>704803431.21259034</v>
      </c>
      <c r="E234" s="733">
        <v>704803431.21259034</v>
      </c>
      <c r="F234" s="733"/>
      <c r="G234" s="733"/>
      <c r="H234" s="733">
        <f t="shared" si="94"/>
        <v>704803431.21259034</v>
      </c>
      <c r="I234" s="408">
        <f t="shared" si="39"/>
        <v>-704803431.21259034</v>
      </c>
      <c r="J234" s="408">
        <f t="shared" si="40"/>
        <v>-1</v>
      </c>
      <c r="K234" s="735">
        <f t="shared" si="95"/>
        <v>704803431.21259034</v>
      </c>
      <c r="L234" s="100"/>
    </row>
    <row r="235" spans="1:12" x14ac:dyDescent="0.25">
      <c r="A235" s="607" t="str">
        <f t="shared" si="90"/>
        <v>Waste management</v>
      </c>
      <c r="B235" s="620"/>
      <c r="C235" s="611">
        <f t="shared" ref="C235:H235" si="96">SUM(C236:C239)</f>
        <v>124834392.02</v>
      </c>
      <c r="D235" s="611">
        <f t="shared" si="96"/>
        <v>129784404.92762612</v>
      </c>
      <c r="E235" s="611">
        <f t="shared" si="96"/>
        <v>126434404.92762612</v>
      </c>
      <c r="F235" s="611">
        <f t="shared" si="96"/>
        <v>10625694.370000003</v>
      </c>
      <c r="G235" s="611">
        <f t="shared" si="96"/>
        <v>119620190.92999995</v>
      </c>
      <c r="H235" s="611">
        <f t="shared" si="96"/>
        <v>126434404.92762612</v>
      </c>
      <c r="I235" s="611">
        <f t="shared" si="39"/>
        <v>-6814213.9976261705</v>
      </c>
      <c r="J235" s="611">
        <f t="shared" si="40"/>
        <v>-5.3895251071310685E-2</v>
      </c>
      <c r="K235" s="611">
        <f>SUM(K236:K239)</f>
        <v>126434404.92762612</v>
      </c>
      <c r="L235" s="100"/>
    </row>
    <row r="236" spans="1:12" x14ac:dyDescent="0.25">
      <c r="A236" s="695" t="str">
        <f t="shared" si="90"/>
        <v>Recycling</v>
      </c>
      <c r="B236" s="620"/>
      <c r="C236" s="733"/>
      <c r="D236" s="733"/>
      <c r="E236" s="733"/>
      <c r="F236" s="733"/>
      <c r="G236" s="733"/>
      <c r="H236" s="733"/>
      <c r="I236" s="408">
        <f>G236-H236</f>
        <v>0</v>
      </c>
      <c r="J236" s="408" t="str">
        <f>IF(I236=0,"",I236/H236)</f>
        <v/>
      </c>
      <c r="K236" s="735"/>
      <c r="L236" s="100"/>
    </row>
    <row r="237" spans="1:12" x14ac:dyDescent="0.25">
      <c r="A237" s="695" t="str">
        <f t="shared" si="90"/>
        <v>Solid Waste Disposal (Landfill Sites)</v>
      </c>
      <c r="B237" s="620"/>
      <c r="C237" s="733">
        <v>-15485353.230000006</v>
      </c>
      <c r="D237" s="733">
        <v>13353688.704158884</v>
      </c>
      <c r="E237" s="733">
        <v>11797688.704158884</v>
      </c>
      <c r="F237" s="733">
        <v>1682775.2</v>
      </c>
      <c r="G237" s="733">
        <v>7923285.8699999992</v>
      </c>
      <c r="H237" s="733">
        <f t="shared" ref="H237:H238" si="97">E237/12*12</f>
        <v>11797688.704158884</v>
      </c>
      <c r="I237" s="408">
        <f>G237-H237</f>
        <v>-3874402.8341588844</v>
      </c>
      <c r="J237" s="408">
        <f>IF(I237=0,"",I237/H237)</f>
        <v>-0.32840354846734449</v>
      </c>
      <c r="K237" s="735">
        <f>E237</f>
        <v>11797688.704158884</v>
      </c>
      <c r="L237" s="100"/>
    </row>
    <row r="238" spans="1:12" x14ac:dyDescent="0.25">
      <c r="A238" s="695" t="str">
        <f t="shared" si="90"/>
        <v>Solid Waste Removal</v>
      </c>
      <c r="B238" s="620"/>
      <c r="C238" s="733">
        <v>140319745.25</v>
      </c>
      <c r="D238" s="733">
        <v>116430716.22346723</v>
      </c>
      <c r="E238" s="733">
        <v>114636716.22346723</v>
      </c>
      <c r="F238" s="733">
        <v>8942919.1700000037</v>
      </c>
      <c r="G238" s="733">
        <v>111696905.05999994</v>
      </c>
      <c r="H238" s="733">
        <f t="shared" si="97"/>
        <v>114636716.22346723</v>
      </c>
      <c r="I238" s="408">
        <f>G238-H238</f>
        <v>-2939811.163467288</v>
      </c>
      <c r="J238" s="408">
        <f>IF(I238=0,"",I238/H238)</f>
        <v>-2.5644586309822092E-2</v>
      </c>
      <c r="K238" s="735">
        <f>E238</f>
        <v>114636716.22346723</v>
      </c>
      <c r="L238" s="100"/>
    </row>
    <row r="239" spans="1:12" x14ac:dyDescent="0.25">
      <c r="A239" s="695" t="str">
        <f t="shared" si="90"/>
        <v>Street Cleaning</v>
      </c>
      <c r="B239" s="415"/>
      <c r="C239" s="733"/>
      <c r="D239" s="733"/>
      <c r="E239" s="733"/>
      <c r="F239" s="733"/>
      <c r="G239" s="733"/>
      <c r="H239" s="733"/>
      <c r="I239" s="408">
        <f t="shared" si="39"/>
        <v>0</v>
      </c>
      <c r="J239" s="408" t="str">
        <f t="shared" si="40"/>
        <v/>
      </c>
      <c r="K239" s="735"/>
      <c r="L239" s="100"/>
    </row>
    <row r="240" spans="1:12" x14ac:dyDescent="0.25">
      <c r="A240" s="414" t="str">
        <f t="shared" si="90"/>
        <v>Other</v>
      </c>
      <c r="B240" s="415"/>
      <c r="C240" s="611">
        <f t="shared" ref="C240:K240" si="98">SUM(C241:C246)</f>
        <v>76856662.089999989</v>
      </c>
      <c r="D240" s="611">
        <f t="shared" si="98"/>
        <v>81300979.882271051</v>
      </c>
      <c r="E240" s="611">
        <f t="shared" si="98"/>
        <v>81300979.882271051</v>
      </c>
      <c r="F240" s="611">
        <f t="shared" si="98"/>
        <v>5571782.6399999987</v>
      </c>
      <c r="G240" s="611">
        <f t="shared" si="98"/>
        <v>52623702.280000009</v>
      </c>
      <c r="H240" s="611">
        <f t="shared" si="98"/>
        <v>81300979.882271051</v>
      </c>
      <c r="I240" s="611">
        <f t="shared" si="39"/>
        <v>-28677277.602271043</v>
      </c>
      <c r="J240" s="611">
        <f t="shared" si="40"/>
        <v>-0.35272979051172015</v>
      </c>
      <c r="K240" s="614">
        <f t="shared" si="98"/>
        <v>81300979.882271051</v>
      </c>
      <c r="L240" s="100"/>
    </row>
    <row r="241" spans="1:12" x14ac:dyDescent="0.25">
      <c r="A241" s="607" t="str">
        <f t="shared" si="90"/>
        <v>Abattoirs</v>
      </c>
      <c r="B241" s="415"/>
      <c r="C241" s="733"/>
      <c r="D241" s="733"/>
      <c r="E241" s="733"/>
      <c r="F241" s="733"/>
      <c r="G241" s="733"/>
      <c r="H241" s="733"/>
      <c r="I241" s="408">
        <f t="shared" si="39"/>
        <v>0</v>
      </c>
      <c r="J241" s="408" t="str">
        <f t="shared" si="40"/>
        <v/>
      </c>
      <c r="K241" s="735"/>
      <c r="L241" s="100"/>
    </row>
    <row r="242" spans="1:12" x14ac:dyDescent="0.25">
      <c r="A242" s="607" t="str">
        <f t="shared" si="90"/>
        <v>Air Transport</v>
      </c>
      <c r="B242" s="415"/>
      <c r="C242" s="733">
        <v>19394700.789999995</v>
      </c>
      <c r="D242" s="733">
        <v>30392698.58867228</v>
      </c>
      <c r="E242" s="733">
        <v>30392698.58867228</v>
      </c>
      <c r="F242" s="733">
        <v>2832298.9299999992</v>
      </c>
      <c r="G242" s="733">
        <v>23782933.720000006</v>
      </c>
      <c r="H242" s="733">
        <f t="shared" ref="H242:H246" si="99">E242/12*12</f>
        <v>30392698.58867228</v>
      </c>
      <c r="I242" s="408">
        <f t="shared" si="39"/>
        <v>-6609764.8686722741</v>
      </c>
      <c r="J242" s="408">
        <f t="shared" si="40"/>
        <v>-0.21747870954558185</v>
      </c>
      <c r="K242" s="735">
        <f t="shared" ref="K242:K246" si="100">E242</f>
        <v>30392698.58867228</v>
      </c>
      <c r="L242" s="100"/>
    </row>
    <row r="243" spans="1:12" x14ac:dyDescent="0.25">
      <c r="A243" s="607" t="str">
        <f t="shared" si="90"/>
        <v xml:space="preserve">Forestry </v>
      </c>
      <c r="B243" s="415"/>
      <c r="C243" s="733">
        <v>23074439.920000002</v>
      </c>
      <c r="D243" s="733">
        <v>5026381.4873491293</v>
      </c>
      <c r="E243" s="733">
        <v>5026381.4873491293</v>
      </c>
      <c r="F243" s="733">
        <v>406880.22</v>
      </c>
      <c r="G243" s="733">
        <v>7853849.1500000004</v>
      </c>
      <c r="H243" s="733">
        <f t="shared" si="99"/>
        <v>5026381.4873491293</v>
      </c>
      <c r="I243" s="408">
        <f>G243-H243</f>
        <v>2827467.6626508711</v>
      </c>
      <c r="J243" s="408">
        <f>IF(I243=0,"",I243/H243)</f>
        <v>0.56252548075933118</v>
      </c>
      <c r="K243" s="735">
        <f t="shared" si="100"/>
        <v>5026381.4873491293</v>
      </c>
      <c r="L243" s="100"/>
    </row>
    <row r="244" spans="1:12" x14ac:dyDescent="0.25">
      <c r="A244" s="607" t="str">
        <f t="shared" si="90"/>
        <v>Licensing and Regulation</v>
      </c>
      <c r="B244" s="415"/>
      <c r="C244" s="733">
        <v>4080150.6200000006</v>
      </c>
      <c r="D244" s="733">
        <v>10803274.511466645</v>
      </c>
      <c r="E244" s="733">
        <v>10803274.511466645</v>
      </c>
      <c r="F244" s="733">
        <v>345454.94</v>
      </c>
      <c r="G244" s="733">
        <v>4304468.7000000011</v>
      </c>
      <c r="H244" s="733">
        <f t="shared" si="99"/>
        <v>10803274.511466645</v>
      </c>
      <c r="I244" s="408">
        <f t="shared" si="39"/>
        <v>-6498805.8114666436</v>
      </c>
      <c r="J244" s="408">
        <f t="shared" si="40"/>
        <v>-0.60155888888769615</v>
      </c>
      <c r="K244" s="735">
        <f t="shared" si="100"/>
        <v>10803274.511466645</v>
      </c>
      <c r="L244" s="100"/>
    </row>
    <row r="245" spans="1:12" x14ac:dyDescent="0.25">
      <c r="A245" s="607" t="str">
        <f t="shared" si="90"/>
        <v>Markets</v>
      </c>
      <c r="B245" s="415"/>
      <c r="C245" s="733">
        <v>27628357.369999997</v>
      </c>
      <c r="D245" s="733">
        <v>32893514.314352129</v>
      </c>
      <c r="E245" s="733">
        <v>32893514.314352129</v>
      </c>
      <c r="F245" s="733">
        <v>1169441.8700000001</v>
      </c>
      <c r="G245" s="733">
        <v>14196482.929999998</v>
      </c>
      <c r="H245" s="733">
        <f t="shared" si="99"/>
        <v>32893514.314352129</v>
      </c>
      <c r="I245" s="408">
        <f>G245-H245</f>
        <v>-18697031.384352133</v>
      </c>
      <c r="J245" s="408">
        <f>IF(I245=0,"",I245/H245)</f>
        <v>-0.56841087898577702</v>
      </c>
      <c r="K245" s="735">
        <f t="shared" si="100"/>
        <v>32893514.314352129</v>
      </c>
      <c r="L245" s="100"/>
    </row>
    <row r="246" spans="1:12" x14ac:dyDescent="0.25">
      <c r="A246" s="607" t="str">
        <f t="shared" si="90"/>
        <v>Tourism</v>
      </c>
      <c r="B246" s="415"/>
      <c r="C246" s="733">
        <v>2679013.3900000006</v>
      </c>
      <c r="D246" s="733">
        <v>2185110.9804308736</v>
      </c>
      <c r="E246" s="733">
        <v>2185110.9804308736</v>
      </c>
      <c r="F246" s="733">
        <v>817706.68</v>
      </c>
      <c r="G246" s="733">
        <v>2485967.7800000003</v>
      </c>
      <c r="H246" s="733">
        <f t="shared" si="99"/>
        <v>2185110.9804308736</v>
      </c>
      <c r="I246" s="408">
        <f>G246-H246</f>
        <v>300856.79956912668</v>
      </c>
      <c r="J246" s="408">
        <f>IF(I246=0,"",I246/H246)</f>
        <v>0.13768490583018439</v>
      </c>
      <c r="K246" s="735">
        <f t="shared" si="100"/>
        <v>2185110.9804308736</v>
      </c>
      <c r="L246" s="100"/>
    </row>
    <row r="247" spans="1:12" x14ac:dyDescent="0.25">
      <c r="A247" s="615" t="str">
        <f>"Total "&amp;A127</f>
        <v>Total Expenditure - Functional</v>
      </c>
      <c r="B247" s="415">
        <v>3</v>
      </c>
      <c r="C247" s="545">
        <f t="shared" ref="C247:I247" si="101">C128+C148+C197+C221+C240</f>
        <v>5566648837.5499983</v>
      </c>
      <c r="D247" s="545">
        <f t="shared" si="101"/>
        <v>5516853313.5446301</v>
      </c>
      <c r="E247" s="545">
        <f t="shared" si="101"/>
        <v>5673151026.697073</v>
      </c>
      <c r="F247" s="545">
        <f t="shared" si="101"/>
        <v>957176296.24999964</v>
      </c>
      <c r="G247" s="545">
        <f t="shared" si="101"/>
        <v>5772043430.71</v>
      </c>
      <c r="H247" s="545">
        <f t="shared" si="101"/>
        <v>5673151026.697073</v>
      </c>
      <c r="I247" s="545">
        <f t="shared" si="101"/>
        <v>98892404.012926579</v>
      </c>
      <c r="J247" s="545">
        <f>IF(I247=0,"",I247/H247)</f>
        <v>1.743165368726347E-2</v>
      </c>
      <c r="K247" s="597">
        <f>K128+K148+K197+K221+K240</f>
        <v>5673151026.697073</v>
      </c>
      <c r="L247" s="100"/>
    </row>
    <row r="248" spans="1:12" x14ac:dyDescent="0.25">
      <c r="A248" s="621" t="str">
        <f>result</f>
        <v>Surplus/ (Deficit) for the year</v>
      </c>
      <c r="B248" s="622"/>
      <c r="C248" s="76">
        <f t="shared" ref="C248:H248" si="102">C125-C247</f>
        <v>223395341.15000153</v>
      </c>
      <c r="D248" s="76">
        <f t="shared" si="102"/>
        <v>927224369.32743168</v>
      </c>
      <c r="E248" s="76">
        <f t="shared" si="102"/>
        <v>914456605.17499161</v>
      </c>
      <c r="F248" s="76">
        <f t="shared" si="102"/>
        <v>-369620363.41999972</v>
      </c>
      <c r="G248" s="76">
        <f t="shared" si="102"/>
        <v>388440905.75</v>
      </c>
      <c r="H248" s="76">
        <f t="shared" si="102"/>
        <v>914456605.17499256</v>
      </c>
      <c r="I248" s="634">
        <f>G248-H248</f>
        <v>-526015699.42499256</v>
      </c>
      <c r="J248" s="634">
        <f>IF(I248=0,"",I248/H248)</f>
        <v>-0.57522215537426513</v>
      </c>
      <c r="K248" s="234">
        <f>K125-K247</f>
        <v>914456605.17499161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8" t="s">
        <v>1207</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8.7799997329711914</v>
      </c>
      <c r="D256" s="628">
        <f>D125-'C4-FinPerf RE'!D53</f>
        <v>375844</v>
      </c>
      <c r="E256" s="628">
        <f>E125-'C4-FinPerf RE'!E53</f>
        <v>-1296407.999997139</v>
      </c>
      <c r="F256" s="628">
        <f>F125-'C4-FinPerf RE'!F53</f>
        <v>0</v>
      </c>
      <c r="G256" s="628">
        <f>G125-'C4-FinPerf RE'!G53</f>
        <v>0</v>
      </c>
      <c r="H256" s="628">
        <f>H125-'C4-FinPerf RE'!H53</f>
        <v>-1296407.9999961853</v>
      </c>
      <c r="I256" s="628">
        <f>I125-'C4-FinPerf RE'!I53</f>
        <v>-427123295.41206551</v>
      </c>
      <c r="J256" s="629"/>
      <c r="K256" s="628">
        <f>K125-'C4-FinPerf RE'!K53</f>
        <v>-1296407.999997139</v>
      </c>
    </row>
    <row r="257" spans="1:11" x14ac:dyDescent="0.25">
      <c r="A257" s="81" t="s">
        <v>179</v>
      </c>
      <c r="B257" s="64"/>
      <c r="C257" s="628">
        <f>C247-'C4-FinPerf RE'!C36</f>
        <v>0</v>
      </c>
      <c r="D257" s="628">
        <f>D247-'C4-FinPerf RE'!D36</f>
        <v>375844.00000190735</v>
      </c>
      <c r="E257" s="628">
        <f>E247-'C4-FinPerf RE'!E36</f>
        <v>-0.72423839569091797</v>
      </c>
      <c r="F257" s="628">
        <f>F247-'C4-FinPerf RE'!F36</f>
        <v>0</v>
      </c>
      <c r="G257" s="628">
        <f>G247-'C4-FinPerf RE'!G36</f>
        <v>0</v>
      </c>
      <c r="H257" s="628">
        <f>H247-'C4-FinPerf RE'!H36</f>
        <v>-0.72423839569091797</v>
      </c>
      <c r="I257" s="628">
        <f>I247-'C4-FinPerf RE'!I36</f>
        <v>0.72423982620239258</v>
      </c>
      <c r="J257" s="629"/>
      <c r="K257" s="628">
        <f>K247-'C4-FinPerf RE'!K36</f>
        <v>-0.72423839569091797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2021-07-20T13:28:54Z</dcterms:modified>
</cp:coreProperties>
</file>